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6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erson Stofaleti\Pictures\"/>
    </mc:Choice>
  </mc:AlternateContent>
  <bookViews>
    <workbookView xWindow="0" yWindow="0" windowWidth="20490" windowHeight="7530" activeTab="4"/>
  </bookViews>
  <sheets>
    <sheet name="Planilha1" sheetId="1" r:id="rId1"/>
    <sheet name="Planilha2" sheetId="2" r:id="rId2"/>
    <sheet name="Michel" sheetId="3" r:id="rId3"/>
    <sheet name="Roseli" sheetId="5" r:id="rId4"/>
    <sheet name="Planilha4" sheetId="4" r:id="rId5"/>
    <sheet name="Planilha6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" i="4" l="1"/>
  <c r="E22" i="5" l="1"/>
  <c r="H22" i="5" s="1"/>
  <c r="H9" i="5"/>
  <c r="H10" i="5"/>
  <c r="H11" i="5"/>
  <c r="H12" i="5"/>
  <c r="H13" i="5"/>
  <c r="H8" i="5"/>
  <c r="F20" i="5"/>
  <c r="H20" i="5" s="1"/>
  <c r="F15" i="5"/>
  <c r="F16" i="5"/>
  <c r="F17" i="5"/>
  <c r="F18" i="5"/>
  <c r="F14" i="5"/>
  <c r="F12" i="5"/>
  <c r="H14" i="5"/>
  <c r="H15" i="5"/>
  <c r="H16" i="5"/>
  <c r="H17" i="5"/>
  <c r="H18" i="5"/>
  <c r="H19" i="5"/>
  <c r="H21" i="5"/>
  <c r="H23" i="5"/>
  <c r="F9" i="5"/>
  <c r="E25" i="5"/>
  <c r="D25" i="5"/>
  <c r="C25" i="5"/>
  <c r="C22" i="5"/>
  <c r="G22" i="5" s="1"/>
  <c r="C8" i="5"/>
  <c r="G8" i="5" s="1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3" i="5"/>
  <c r="C23" i="5"/>
  <c r="C21" i="5"/>
  <c r="C20" i="5"/>
  <c r="C19" i="5"/>
  <c r="C17" i="5"/>
  <c r="C18" i="5"/>
  <c r="C16" i="5"/>
  <c r="C15" i="5"/>
  <c r="C14" i="5"/>
  <c r="C13" i="5"/>
  <c r="C12" i="5"/>
  <c r="C11" i="5"/>
  <c r="C10" i="5"/>
  <c r="C9" i="5"/>
  <c r="I11" i="3"/>
  <c r="I12" i="3"/>
  <c r="I13" i="3"/>
  <c r="R8" i="3"/>
  <c r="O21" i="3"/>
  <c r="L22" i="3"/>
  <c r="L21" i="3"/>
  <c r="M21" i="3"/>
  <c r="H12" i="3"/>
  <c r="H11" i="3"/>
  <c r="C12" i="3"/>
  <c r="B12" i="3"/>
  <c r="D4" i="3"/>
  <c r="D5" i="3"/>
  <c r="D6" i="3"/>
  <c r="D7" i="3"/>
  <c r="D8" i="3"/>
  <c r="D9" i="3"/>
  <c r="D10" i="3"/>
  <c r="D3" i="3"/>
  <c r="H6" i="3"/>
  <c r="P10" i="3"/>
  <c r="K10" i="3"/>
  <c r="J10" i="3"/>
  <c r="D12" i="3" l="1"/>
  <c r="G25" i="1"/>
  <c r="J17" i="2"/>
  <c r="J16" i="2"/>
  <c r="J15" i="2"/>
  <c r="S33" i="2" l="1"/>
  <c r="R33" i="2"/>
  <c r="H7" i="2"/>
  <c r="N8" i="3"/>
  <c r="N17" i="3" s="1"/>
  <c r="O17" i="3"/>
  <c r="Q17" i="3"/>
  <c r="L17" i="3"/>
  <c r="G17" i="3"/>
  <c r="K13" i="3"/>
  <c r="P13" i="3"/>
  <c r="P17" i="3" s="1"/>
  <c r="P12" i="3"/>
  <c r="P11" i="3"/>
  <c r="O15" i="3"/>
  <c r="N15" i="3"/>
  <c r="J13" i="3"/>
  <c r="I15" i="3"/>
  <c r="H10" i="3"/>
  <c r="I10" i="3"/>
  <c r="P3" i="3"/>
  <c r="P4" i="3"/>
  <c r="P5" i="3"/>
  <c r="P6" i="3"/>
  <c r="K4" i="3"/>
  <c r="K5" i="3"/>
  <c r="K3" i="3"/>
  <c r="O8" i="3"/>
  <c r="H5" i="3"/>
  <c r="H4" i="3"/>
  <c r="H3" i="3"/>
  <c r="I3" i="3" s="1"/>
  <c r="J3" i="3" s="1"/>
  <c r="I5" i="3"/>
  <c r="J5" i="3" s="1"/>
  <c r="I4" i="3"/>
  <c r="J4" i="3" s="1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R6" i="2"/>
  <c r="Q34" i="2"/>
  <c r="Q35" i="2" s="1"/>
  <c r="Q36" i="2" s="1"/>
  <c r="Q37" i="2" s="1"/>
  <c r="Q38" i="2" s="1"/>
  <c r="Q39" i="2" s="1"/>
  <c r="Q40" i="2" s="1"/>
  <c r="Q41" i="2" s="1"/>
  <c r="Q42" i="2" s="1"/>
  <c r="Q43" i="2" s="1"/>
  <c r="Q44" i="2" s="1"/>
  <c r="Q45" i="2" s="1"/>
  <c r="Q46" i="2" s="1"/>
  <c r="Q47" i="2" s="1"/>
  <c r="Q48" i="2" s="1"/>
  <c r="Q49" i="2" s="1"/>
  <c r="Q50" i="2" s="1"/>
  <c r="Q51" i="2" s="1"/>
  <c r="Q52" i="2" s="1"/>
  <c r="Q53" i="2" s="1"/>
  <c r="Q54" i="2" s="1"/>
  <c r="Q55" i="2" s="1"/>
  <c r="Q56" i="2" s="1"/>
  <c r="Q57" i="2" s="1"/>
  <c r="Q58" i="2" s="1"/>
  <c r="Q59" i="2" s="1"/>
  <c r="Q60" i="2" s="1"/>
  <c r="Q61" i="2" s="1"/>
  <c r="Q62" i="2" s="1"/>
  <c r="Q63" i="2" s="1"/>
  <c r="Q64" i="2" s="1"/>
  <c r="R21" i="2"/>
  <c r="R22" i="2"/>
  <c r="R23" i="2"/>
  <c r="R24" i="2"/>
  <c r="R25" i="2"/>
  <c r="R26" i="2"/>
  <c r="R27" i="2"/>
  <c r="R28" i="2"/>
  <c r="R29" i="2"/>
  <c r="R30" i="2"/>
  <c r="R31" i="2"/>
  <c r="R32" i="2"/>
  <c r="J11" i="3" l="1"/>
  <c r="N19" i="3"/>
  <c r="J12" i="3"/>
  <c r="K12" i="3" s="1"/>
  <c r="H17" i="3"/>
  <c r="I6" i="3"/>
  <c r="K11" i="3" l="1"/>
  <c r="J15" i="3"/>
  <c r="R15" i="3" s="1"/>
  <c r="I8" i="3"/>
  <c r="I17" i="3" s="1"/>
  <c r="J6" i="3"/>
  <c r="J8" i="3" l="1"/>
  <c r="J17" i="3" s="1"/>
  <c r="K6" i="3"/>
  <c r="K17" i="3" s="1"/>
</calcChain>
</file>

<file path=xl/sharedStrings.xml><?xml version="1.0" encoding="utf-8"?>
<sst xmlns="http://schemas.openxmlformats.org/spreadsheetml/2006/main" count="112" uniqueCount="57">
  <si>
    <t>Mês da parcela</t>
  </si>
  <si>
    <t>Vencimento do DAS</t>
  </si>
  <si>
    <t>Data de arrecadação</t>
  </si>
  <si>
    <t>Valor pago</t>
  </si>
  <si>
    <t>setembro</t>
  </si>
  <si>
    <t>outubro</t>
  </si>
  <si>
    <t>novembro</t>
  </si>
  <si>
    <t>dezembro</t>
  </si>
  <si>
    <t>Janeiro</t>
  </si>
  <si>
    <t>Fevereiro</t>
  </si>
  <si>
    <t>Março</t>
  </si>
  <si>
    <t>Abril</t>
  </si>
  <si>
    <t>ALAOR</t>
  </si>
  <si>
    <t>ALLANN</t>
  </si>
  <si>
    <t>ANDRÉ</t>
  </si>
  <si>
    <t>CRIS</t>
  </si>
  <si>
    <t>DAN</t>
  </si>
  <si>
    <t>ELINHO</t>
  </si>
  <si>
    <t>ERICK</t>
  </si>
  <si>
    <t>EVERTON</t>
  </si>
  <si>
    <t>FIA</t>
  </si>
  <si>
    <t>MÁRCIO</t>
  </si>
  <si>
    <t>PACHECO</t>
  </si>
  <si>
    <t>PEREIRINHA</t>
  </si>
  <si>
    <t>RICARDO</t>
  </si>
  <si>
    <t>THITHI</t>
  </si>
  <si>
    <t>WESLEY</t>
  </si>
  <si>
    <t>ALEX</t>
  </si>
  <si>
    <t>BRUNO</t>
  </si>
  <si>
    <t>DEVA</t>
  </si>
  <si>
    <t>FELIPE</t>
  </si>
  <si>
    <t>ROGÉRIO</t>
  </si>
  <si>
    <t>RONALDO</t>
  </si>
  <si>
    <t>SALGADO</t>
  </si>
  <si>
    <t>SEVE</t>
  </si>
  <si>
    <t>TEVEZ</t>
  </si>
  <si>
    <t>THIAGO</t>
  </si>
  <si>
    <t>WELTON</t>
  </si>
  <si>
    <t>Campeonato</t>
  </si>
  <si>
    <t>Bola</t>
  </si>
  <si>
    <t>Juiz 1ª Partida</t>
  </si>
  <si>
    <t>Taxa de Inscrição</t>
  </si>
  <si>
    <t>Total</t>
  </si>
  <si>
    <t>1ª Rodada</t>
  </si>
  <si>
    <t>2ª Rodada</t>
  </si>
  <si>
    <t>Inscrição</t>
  </si>
  <si>
    <t>Pagaria</t>
  </si>
  <si>
    <t>Faltas</t>
  </si>
  <si>
    <t>Descontar</t>
  </si>
  <si>
    <t>Pago</t>
  </si>
  <si>
    <t>Descontos</t>
  </si>
  <si>
    <t xml:space="preserve">Teria </t>
  </si>
  <si>
    <t>Paguei</t>
  </si>
  <si>
    <t>3ª Rodada</t>
  </si>
  <si>
    <t>Bola e Bomba</t>
  </si>
  <si>
    <t>prejuízo Dan</t>
  </si>
  <si>
    <t>Sobra do Juiz 2ª 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</si>
</sst>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8" formatCode="&quot;R$&quot;\ #,##0.00;[Red]\-&quot;R$&quot;\ #,##0.00"/>
    <numFmt numFmtId="43" formatCode="_-* #,##0.00_-;\-* #,##0.00_-;_-* &quot;-&quot;??_-;_-@_-"/>
    <numFmt numFmtId="170" formatCode="&quot;R$&quot;\ #,##0.00"/>
    <numFmt numFmtId="171" formatCode="&quot;R$ &quot;#,##0.00_);[Red]\(&quot;R$ &quot;#,##0.00\)"/>
    <numFmt numFmtId="172" formatCode="_-&quot;R$&quot;\ * #,##0.00_-;\-&quot;R$&quot;\ * #,##0.00_-;_-&quot;R$&quot;\ * &quot;-&quot;??_-;_-@_-"/>
    <numFmt numFmtId="173" formatCode="_-* #,##0.00_-;\-* #,##0.00_-;_-* &quot;-&quot;??_-;_-@_-"/>
    <numFmt numFmtId="175" formatCode="_(&quot;R$ &quot;* #,##0.00_);_(&quot;R$ &quot;* \(#,##0.00\);_(&quot;R$ &quot;* &quot;-&quot;??_);_(@_)"/>
    <numFmt numFmtId="176" formatCode="&quot;R$ &quot;#,##0.00"/>
    <numFmt numFmtId="183" formatCode="#,##0.00;[Red]#,##0.00"/>
    <numFmt numFmtId="184" formatCode="_(&quot;$&quot;* #,##0.00_);_(&quot;$&quot;* \(#,##0.00\);_(&quot;$&quot;* &quot;-&quot;??_);_(@_)"/>
    <numFmt numFmtId="185" formatCode="_-&quot;R$ &quot;* #,##0.00_-;&quot;-R$ &quot;* #,##0.00_-;_-&quot;R$ &quot;* \-??_-;_-@_-"/>
    <numFmt numFmtId="186" formatCode="_(&quot;R$ &quot;* #,##0.00_);_(&quot;R$ &quot;* \(#,##0.00\);_(&quot;R$ &quot;* \-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9"/>
      <color rgb="FF0A4C62"/>
      <name val="Verdana"/>
      <family val="2"/>
    </font>
    <font>
      <sz val="9"/>
      <color rgb="FF0A4C62"/>
      <name val="Verdana"/>
      <family val="2"/>
    </font>
    <font>
      <b/>
      <sz val="9"/>
      <color rgb="FF0A4C62"/>
      <name val="Verdana"/>
      <family val="2"/>
    </font>
    <font>
      <sz val="11"/>
      <color theme="4"/>
      <name val="Calibri"/>
      <family val="2"/>
      <scheme val="minor"/>
    </font>
    <font>
      <sz val="11"/>
      <color theme="9"/>
      <name val="Calibri"/>
      <family val="2"/>
      <scheme val="minor"/>
    </font>
    <font>
      <sz val="8"/>
      <color rgb="FF000000"/>
      <name val="Verdana"/>
      <family val="2"/>
    </font>
    <font>
      <sz val="12.1"/>
      <color rgb="FF000000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0"/>
      <color indexed="10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3F1E5"/>
        <bgColor indexed="64"/>
      </patternFill>
    </fill>
    <fill>
      <patternFill patternType="solid">
        <fgColor rgb="FFE1E2D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 style="medium">
        <color rgb="FFC0D8E8"/>
      </left>
      <right style="medium">
        <color rgb="FFC0D8E8"/>
      </right>
      <top style="thin">
        <color rgb="FF000000"/>
      </top>
      <bottom style="thin">
        <color rgb="FF000000"/>
      </bottom>
      <diagonal/>
    </border>
    <border>
      <left style="medium">
        <color rgb="FFC0D8E8"/>
      </left>
      <right style="medium">
        <color rgb="FFC0D8E8"/>
      </right>
      <top style="medium">
        <color rgb="FFC0D8E8"/>
      </top>
      <bottom style="medium">
        <color rgb="FFC0D8E8"/>
      </bottom>
      <diagonal/>
    </border>
    <border>
      <left style="medium">
        <color rgb="FFC0D8E8"/>
      </left>
      <right style="thin">
        <color rgb="FF000000"/>
      </right>
      <top style="medium">
        <color rgb="FFC0D8E8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C0D8E8"/>
      </top>
      <bottom style="thin">
        <color rgb="FF000000"/>
      </bottom>
      <diagonal/>
    </border>
    <border>
      <left style="thin">
        <color rgb="FF000000"/>
      </left>
      <right style="medium">
        <color rgb="FFC0D8E8"/>
      </right>
      <top style="medium">
        <color rgb="FFC0D8E8"/>
      </top>
      <bottom style="thin">
        <color rgb="FF000000"/>
      </bottom>
      <diagonal/>
    </border>
    <border>
      <left style="medium">
        <color rgb="FFC0D8E8"/>
      </left>
      <right style="medium">
        <color rgb="FFC0D8E8"/>
      </right>
      <top style="thin">
        <color rgb="FF000000"/>
      </top>
      <bottom style="medium">
        <color rgb="FFC0D8E8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12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11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17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85" fontId="14" fillId="0" borderId="0" applyFill="0" applyBorder="0" applyAlignment="0" applyProtection="0"/>
    <xf numFmtId="175" fontId="11" fillId="0" borderId="0" applyFont="0" applyFill="0" applyBorder="0" applyAlignment="0" applyProtection="0"/>
    <xf numFmtId="186" fontId="14" fillId="0" borderId="0" applyFill="0" applyBorder="0" applyAlignment="0" applyProtection="0"/>
    <xf numFmtId="175" fontId="11" fillId="0" borderId="0" applyFont="0" applyFill="0" applyBorder="0" applyAlignment="0" applyProtection="0"/>
    <xf numFmtId="186" fontId="14" fillId="0" borderId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86" fontId="14" fillId="0" borderId="0" applyFill="0" applyBorder="0" applyAlignment="0" applyProtection="0"/>
    <xf numFmtId="186" fontId="14" fillId="0" borderId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86" fontId="14" fillId="0" borderId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85" fontId="14" fillId="0" borderId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85" fontId="14" fillId="0" borderId="0" applyFill="0" applyBorder="0" applyAlignment="0" applyProtection="0"/>
    <xf numFmtId="172" fontId="1" fillId="0" borderId="0" applyFont="0" applyFill="0" applyBorder="0" applyAlignment="0" applyProtection="0"/>
    <xf numFmtId="175" fontId="14" fillId="0" borderId="0" applyFont="0" applyFill="0" applyBorder="0" applyAlignment="0" applyProtection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7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84" fontId="11" fillId="0" borderId="0" applyFont="0" applyFill="0" applyBorder="0" applyAlignment="0" applyProtection="0"/>
  </cellStyleXfs>
  <cellXfs count="89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4" fontId="0" fillId="0" borderId="0" xfId="0" applyNumberFormat="1"/>
    <xf numFmtId="8" fontId="4" fillId="5" borderId="2" xfId="0" applyNumberFormat="1" applyFont="1" applyFill="1" applyBorder="1" applyAlignment="1">
      <alignment horizontal="left" vertical="center" indent="1"/>
    </xf>
    <xf numFmtId="0" fontId="4" fillId="5" borderId="2" xfId="0" applyFont="1" applyFill="1" applyBorder="1" applyAlignment="1">
      <alignment horizontal="left" vertical="center" indent="1"/>
    </xf>
    <xf numFmtId="22" fontId="4" fillId="5" borderId="2" xfId="0" applyNumberFormat="1" applyFont="1" applyFill="1" applyBorder="1" applyAlignment="1">
      <alignment horizontal="left" vertical="center" indent="1"/>
    </xf>
    <xf numFmtId="8" fontId="0" fillId="0" borderId="0" xfId="0" applyNumberFormat="1"/>
    <xf numFmtId="4" fontId="5" fillId="0" borderId="0" xfId="0" applyNumberFormat="1" applyFont="1"/>
    <xf numFmtId="17" fontId="5" fillId="5" borderId="1" xfId="0" applyNumberFormat="1" applyFont="1" applyFill="1" applyBorder="1" applyAlignment="1">
      <alignment horizontal="left" vertical="center" indent="1"/>
    </xf>
    <xf numFmtId="14" fontId="5" fillId="5" borderId="1" xfId="0" applyNumberFormat="1" applyFont="1" applyFill="1" applyBorder="1" applyAlignment="1">
      <alignment horizontal="left" vertical="center" indent="1"/>
    </xf>
    <xf numFmtId="8" fontId="5" fillId="5" borderId="1" xfId="0" applyNumberFormat="1" applyFont="1" applyFill="1" applyBorder="1" applyAlignment="1">
      <alignment horizontal="left" vertical="center" inden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17" fontId="5" fillId="5" borderId="6" xfId="0" applyNumberFormat="1" applyFont="1" applyFill="1" applyBorder="1" applyAlignment="1">
      <alignment horizontal="left" vertical="center" indent="1"/>
    </xf>
    <xf numFmtId="14" fontId="5" fillId="5" borderId="6" xfId="0" applyNumberFormat="1" applyFont="1" applyFill="1" applyBorder="1" applyAlignment="1">
      <alignment horizontal="left" vertical="center" indent="1"/>
    </xf>
    <xf numFmtId="8" fontId="5" fillId="5" borderId="6" xfId="0" applyNumberFormat="1" applyFont="1" applyFill="1" applyBorder="1" applyAlignment="1">
      <alignment horizontal="left" vertical="center" indent="1"/>
    </xf>
    <xf numFmtId="10" fontId="0" fillId="0" borderId="0" xfId="1" applyNumberFormat="1" applyFont="1"/>
    <xf numFmtId="0" fontId="2" fillId="0" borderId="0" xfId="0" applyFont="1"/>
    <xf numFmtId="0" fontId="7" fillId="0" borderId="0" xfId="0" applyFont="1"/>
    <xf numFmtId="0" fontId="8" fillId="0" borderId="0" xfId="0" applyFont="1"/>
    <xf numFmtId="0" fontId="8" fillId="7" borderId="0" xfId="0" applyFont="1" applyFill="1"/>
    <xf numFmtId="0" fontId="0" fillId="7" borderId="0" xfId="0" applyFill="1"/>
    <xf numFmtId="4" fontId="9" fillId="0" borderId="0" xfId="0" applyNumberFormat="1" applyFont="1"/>
    <xf numFmtId="0" fontId="10" fillId="8" borderId="7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0" fontId="0" fillId="2" borderId="9" xfId="0" applyFill="1" applyBorder="1"/>
    <xf numFmtId="0" fontId="7" fillId="2" borderId="9" xfId="0" applyFont="1" applyFill="1" applyBorder="1"/>
    <xf numFmtId="0" fontId="2" fillId="2" borderId="9" xfId="0" applyFont="1" applyFill="1" applyBorder="1"/>
    <xf numFmtId="0" fontId="10" fillId="2" borderId="11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170" fontId="0" fillId="2" borderId="9" xfId="0" applyNumberForma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170" fontId="0" fillId="4" borderId="9" xfId="0" applyNumberFormat="1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7" fontId="0" fillId="0" borderId="0" xfId="0" applyNumberFormat="1"/>
    <xf numFmtId="8" fontId="0" fillId="4" borderId="0" xfId="0" applyNumberFormat="1" applyFill="1"/>
    <xf numFmtId="176" fontId="12" fillId="9" borderId="12" xfId="34" applyNumberFormat="1" applyFont="1" applyFill="1" applyBorder="1" applyAlignment="1">
      <alignment horizontal="center"/>
    </xf>
    <xf numFmtId="171" fontId="13" fillId="0" borderId="13" xfId="34" applyNumberFormat="1" applyFont="1" applyFill="1" applyBorder="1" applyAlignment="1" applyProtection="1">
      <alignment horizontal="center" shrinkToFit="1"/>
      <protection hidden="1"/>
    </xf>
    <xf numFmtId="171" fontId="13" fillId="2" borderId="13" xfId="34" applyNumberFormat="1" applyFont="1" applyFill="1" applyBorder="1" applyAlignment="1" applyProtection="1">
      <alignment horizontal="center" shrinkToFit="1"/>
      <protection hidden="1"/>
    </xf>
    <xf numFmtId="171" fontId="13" fillId="0" borderId="13" xfId="34" applyNumberFormat="1" applyFont="1" applyFill="1" applyBorder="1" applyAlignment="1" applyProtection="1">
      <alignment horizontal="center" shrinkToFit="1"/>
      <protection hidden="1"/>
    </xf>
    <xf numFmtId="171" fontId="13" fillId="2" borderId="13" xfId="34" applyNumberFormat="1" applyFont="1" applyFill="1" applyBorder="1" applyAlignment="1" applyProtection="1">
      <alignment horizontal="center" shrinkToFit="1"/>
      <protection hidden="1"/>
    </xf>
    <xf numFmtId="171" fontId="13" fillId="2" borderId="13" xfId="34" applyNumberFormat="1" applyFont="1" applyFill="1" applyBorder="1" applyAlignment="1" applyProtection="1">
      <alignment horizontal="center" shrinkToFit="1"/>
      <protection hidden="1"/>
    </xf>
    <xf numFmtId="171" fontId="13" fillId="2" borderId="13" xfId="34" applyNumberFormat="1" applyFont="1" applyFill="1" applyBorder="1" applyAlignment="1" applyProtection="1">
      <alignment horizontal="center" shrinkToFit="1"/>
      <protection hidden="1"/>
    </xf>
    <xf numFmtId="171" fontId="13" fillId="0" borderId="13" xfId="34" applyNumberFormat="1" applyFont="1" applyFill="1" applyBorder="1" applyAlignment="1" applyProtection="1">
      <alignment horizontal="center" shrinkToFit="1"/>
      <protection hidden="1"/>
    </xf>
    <xf numFmtId="171" fontId="13" fillId="2" borderId="13" xfId="34" applyNumberFormat="1" applyFont="1" applyFill="1" applyBorder="1" applyAlignment="1" applyProtection="1">
      <alignment horizontal="center" shrinkToFit="1"/>
      <protection hidden="1"/>
    </xf>
    <xf numFmtId="171" fontId="13" fillId="2" borderId="13" xfId="34" applyNumberFormat="1" applyFont="1" applyFill="1" applyBorder="1" applyAlignment="1" applyProtection="1">
      <alignment horizontal="center" shrinkToFit="1"/>
      <protection hidden="1"/>
    </xf>
    <xf numFmtId="171" fontId="13" fillId="2" borderId="13" xfId="34" applyNumberFormat="1" applyFont="1" applyFill="1" applyBorder="1" applyAlignment="1" applyProtection="1">
      <alignment horizontal="center" shrinkToFit="1"/>
      <protection hidden="1"/>
    </xf>
    <xf numFmtId="171" fontId="13" fillId="2" borderId="13" xfId="34" applyNumberFormat="1" applyFont="1" applyFill="1" applyBorder="1" applyAlignment="1" applyProtection="1">
      <alignment horizontal="center" shrinkToFit="1"/>
      <protection hidden="1"/>
    </xf>
    <xf numFmtId="176" fontId="12" fillId="9" borderId="12" xfId="34" applyNumberFormat="1" applyFont="1" applyFill="1" applyBorder="1" applyAlignment="1">
      <alignment horizontal="center"/>
    </xf>
    <xf numFmtId="176" fontId="12" fillId="9" borderId="12" xfId="34" applyNumberFormat="1" applyFont="1" applyFill="1" applyBorder="1" applyAlignment="1">
      <alignment horizontal="center"/>
    </xf>
    <xf numFmtId="176" fontId="12" fillId="9" borderId="12" xfId="34" applyNumberFormat="1" applyFont="1" applyFill="1" applyBorder="1" applyAlignment="1">
      <alignment horizontal="center"/>
    </xf>
    <xf numFmtId="176" fontId="12" fillId="9" borderId="12" xfId="34" applyNumberFormat="1" applyFont="1" applyFill="1" applyBorder="1" applyAlignment="1">
      <alignment horizontal="center"/>
    </xf>
    <xf numFmtId="176" fontId="12" fillId="9" borderId="12" xfId="34" applyNumberFormat="1" applyFont="1" applyFill="1" applyBorder="1" applyAlignment="1">
      <alignment horizontal="center"/>
    </xf>
    <xf numFmtId="176" fontId="12" fillId="9" borderId="12" xfId="34" applyNumberFormat="1" applyFont="1" applyFill="1" applyBorder="1" applyAlignment="1">
      <alignment horizontal="center"/>
    </xf>
    <xf numFmtId="176" fontId="12" fillId="9" borderId="12" xfId="34" applyNumberFormat="1" applyFont="1" applyFill="1" applyBorder="1" applyAlignment="1">
      <alignment horizontal="center"/>
    </xf>
    <xf numFmtId="176" fontId="12" fillId="9" borderId="12" xfId="34" applyNumberFormat="1" applyFont="1" applyFill="1" applyBorder="1" applyAlignment="1">
      <alignment horizontal="center"/>
    </xf>
    <xf numFmtId="176" fontId="12" fillId="9" borderId="12" xfId="34" applyNumberFormat="1" applyFont="1" applyFill="1" applyBorder="1" applyAlignment="1">
      <alignment horizontal="center"/>
    </xf>
    <xf numFmtId="176" fontId="12" fillId="9" borderId="12" xfId="34" applyNumberFormat="1" applyFont="1" applyFill="1" applyBorder="1" applyAlignment="1">
      <alignment horizontal="center"/>
    </xf>
    <xf numFmtId="176" fontId="12" fillId="9" borderId="12" xfId="34" applyNumberFormat="1" applyFont="1" applyFill="1" applyBorder="1" applyAlignment="1">
      <alignment horizontal="center"/>
    </xf>
    <xf numFmtId="176" fontId="12" fillId="9" borderId="12" xfId="34" applyNumberFormat="1" applyFont="1" applyFill="1" applyBorder="1" applyAlignment="1">
      <alignment horizontal="center"/>
    </xf>
    <xf numFmtId="176" fontId="12" fillId="9" borderId="12" xfId="34" applyNumberFormat="1" applyFont="1" applyFill="1" applyBorder="1" applyAlignment="1">
      <alignment horizontal="center"/>
    </xf>
    <xf numFmtId="176" fontId="12" fillId="9" borderId="12" xfId="34" applyNumberFormat="1" applyFont="1" applyFill="1" applyBorder="1" applyAlignment="1">
      <alignment horizontal="center"/>
    </xf>
    <xf numFmtId="176" fontId="12" fillId="9" borderId="12" xfId="34" applyNumberFormat="1" applyFont="1" applyFill="1" applyBorder="1" applyAlignment="1">
      <alignment horizontal="center"/>
    </xf>
    <xf numFmtId="0" fontId="0" fillId="10" borderId="0" xfId="0" applyFill="1"/>
    <xf numFmtId="176" fontId="0" fillId="0" borderId="0" xfId="0" applyNumberFormat="1"/>
    <xf numFmtId="171" fontId="0" fillId="0" borderId="0" xfId="0" applyNumberFormat="1"/>
    <xf numFmtId="176" fontId="0" fillId="10" borderId="0" xfId="0" applyNumberFormat="1" applyFill="1"/>
    <xf numFmtId="183" fontId="0" fillId="0" borderId="0" xfId="0" applyNumberFormat="1"/>
    <xf numFmtId="2" fontId="0" fillId="0" borderId="0" xfId="0" applyNumberFormat="1"/>
    <xf numFmtId="0" fontId="0" fillId="2" borderId="18" xfId="0" applyFill="1" applyBorder="1"/>
    <xf numFmtId="0" fontId="0" fillId="2" borderId="16" xfId="0" applyFill="1" applyBorder="1"/>
    <xf numFmtId="170" fontId="7" fillId="2" borderId="14" xfId="0" applyNumberFormat="1" applyFont="1" applyFill="1" applyBorder="1"/>
    <xf numFmtId="0" fontId="0" fillId="2" borderId="20" xfId="0" applyFill="1" applyBorder="1"/>
    <xf numFmtId="170" fontId="7" fillId="2" borderId="21" xfId="0" applyNumberFormat="1" applyFont="1" applyFill="1" applyBorder="1"/>
    <xf numFmtId="170" fontId="2" fillId="2" borderId="21" xfId="0" applyNumberFormat="1" applyFont="1" applyFill="1" applyBorder="1"/>
    <xf numFmtId="0" fontId="0" fillId="2" borderId="17" xfId="0" applyFill="1" applyBorder="1"/>
    <xf numFmtId="170" fontId="7" fillId="2" borderId="15" xfId="0" applyNumberFormat="1" applyFont="1" applyFill="1" applyBorder="1"/>
    <xf numFmtId="170" fontId="2" fillId="2" borderId="19" xfId="0" applyNumberFormat="1" applyFont="1" applyFill="1" applyBorder="1"/>
  </cellXfs>
  <cellStyles count="62">
    <cellStyle name="Hiperlink 2" xfId="3"/>
    <cellStyle name="Hiperlink 2 2" xfId="4"/>
    <cellStyle name="Hiperlink 3" xfId="5"/>
    <cellStyle name="Hiperlink 3 2" xfId="6"/>
    <cellStyle name="Hiperlink 3 3" xfId="7"/>
    <cellStyle name="Hiperlink 4" xfId="8"/>
    <cellStyle name="Moeda 2" xfId="9"/>
    <cellStyle name="Moeda 2 2" xfId="10"/>
    <cellStyle name="Moeda 2 2 2" xfId="11"/>
    <cellStyle name="Moeda 2 3" xfId="12"/>
    <cellStyle name="Moeda 2 3 2" xfId="13"/>
    <cellStyle name="Moeda 2 4" xfId="14"/>
    <cellStyle name="Moeda 2 4 2" xfId="15"/>
    <cellStyle name="Moeda 2 4 2 2" xfId="16"/>
    <cellStyle name="Moeda 2 4 3" xfId="17"/>
    <cellStyle name="Moeda 2 4 4" xfId="18"/>
    <cellStyle name="Moeda 2 5" xfId="19"/>
    <cellStyle name="Moeda 2 5 2" xfId="20"/>
    <cellStyle name="Moeda 2 5 3" xfId="21"/>
    <cellStyle name="Moeda 2 6" xfId="22"/>
    <cellStyle name="Moeda 3" xfId="23"/>
    <cellStyle name="Moeda 3 2" xfId="24"/>
    <cellStyle name="Moeda 3 2 2" xfId="25"/>
    <cellStyle name="Moeda 3 3" xfId="26"/>
    <cellStyle name="Moeda 3 4" xfId="27"/>
    <cellStyle name="Moeda 4" xfId="28"/>
    <cellStyle name="Moeda 4 2" xfId="29"/>
    <cellStyle name="Moeda 4 2 2" xfId="30"/>
    <cellStyle name="Moeda 4 2 3" xfId="31"/>
    <cellStyle name="Moeda 5" xfId="32"/>
    <cellStyle name="Moeda 6" xfId="33"/>
    <cellStyle name="Normal" xfId="0" builtinId="0"/>
    <cellStyle name="Normal 2" xfId="34"/>
    <cellStyle name="Normal 2 2" xfId="35"/>
    <cellStyle name="Normal 3" xfId="36"/>
    <cellStyle name="Normal 3 2" xfId="37"/>
    <cellStyle name="Normal 3 3" xfId="38"/>
    <cellStyle name="Normal 3 4" xfId="39"/>
    <cellStyle name="Normal 3 5" xfId="40"/>
    <cellStyle name="Normal 4" xfId="41"/>
    <cellStyle name="Normal 5" xfId="42"/>
    <cellStyle name="Normal 5 2" xfId="43"/>
    <cellStyle name="Normal 6" xfId="2"/>
    <cellStyle name="Porcentagem" xfId="1" builtinId="5"/>
    <cellStyle name="Porcentagem 2" xfId="45"/>
    <cellStyle name="Porcentagem 2 2" xfId="46"/>
    <cellStyle name="Porcentagem 2 2 2" xfId="47"/>
    <cellStyle name="Porcentagem 2 2 2 2" xfId="48"/>
    <cellStyle name="Porcentagem 2 2 2 3" xfId="49"/>
    <cellStyle name="Porcentagem 2 3" xfId="50"/>
    <cellStyle name="Porcentagem 2 4" xfId="51"/>
    <cellStyle name="Porcentagem 2 5" xfId="52"/>
    <cellStyle name="Porcentagem 2 6" xfId="53"/>
    <cellStyle name="Porcentagem 3" xfId="54"/>
    <cellStyle name="Porcentagem 3 2" xfId="55"/>
    <cellStyle name="Porcentagem 3 2 2" xfId="56"/>
    <cellStyle name="Porcentagem 3 3" xfId="57"/>
    <cellStyle name="Porcentagem 3 4" xfId="58"/>
    <cellStyle name="Porcentagem 4" xfId="44"/>
    <cellStyle name="Vírgula 2" xfId="59"/>
    <cellStyle name="Vírgula 3" xfId="60"/>
    <cellStyle name="Währung" xfId="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5"/>
  <sheetViews>
    <sheetView topLeftCell="A10" workbookViewId="0">
      <selection activeCell="D3" sqref="D3:Q25"/>
    </sheetView>
  </sheetViews>
  <sheetFormatPr defaultRowHeight="15" x14ac:dyDescent="0.25"/>
  <cols>
    <col min="1" max="3" width="9.140625" style="1"/>
    <col min="4" max="4" width="12.28515625" style="1" bestFit="1" customWidth="1"/>
    <col min="5" max="5" width="16" style="1" bestFit="1" customWidth="1"/>
    <col min="6" max="8" width="9.140625" style="1"/>
    <col min="9" max="9" width="10.5703125" style="1" bestFit="1" customWidth="1"/>
    <col min="10" max="12" width="9.140625" style="1"/>
    <col min="13" max="13" width="7.140625" style="1" customWidth="1"/>
    <col min="14" max="16384" width="9.140625" style="1"/>
  </cols>
  <sheetData>
    <row r="2" spans="1:17" ht="15.75" thickBot="1" x14ac:dyDescent="0.3"/>
    <row r="3" spans="1:17" ht="16.5" thickBot="1" x14ac:dyDescent="0.3">
      <c r="D3" s="26" t="s">
        <v>12</v>
      </c>
      <c r="F3" s="1">
        <v>20</v>
      </c>
      <c r="G3" s="1">
        <v>10</v>
      </c>
      <c r="I3" s="26" t="s">
        <v>27</v>
      </c>
    </row>
    <row r="4" spans="1:17" ht="16.5" thickBot="1" x14ac:dyDescent="0.3">
      <c r="D4" s="27" t="s">
        <v>13</v>
      </c>
      <c r="F4" s="2"/>
      <c r="G4" s="2"/>
      <c r="I4" s="27" t="s">
        <v>13</v>
      </c>
      <c r="J4" s="1">
        <v>20</v>
      </c>
      <c r="K4" s="1">
        <v>110</v>
      </c>
    </row>
    <row r="5" spans="1:17" ht="16.5" thickBot="1" x14ac:dyDescent="0.3">
      <c r="D5" s="27" t="s">
        <v>14</v>
      </c>
      <c r="F5" s="3">
        <v>20</v>
      </c>
      <c r="G5" s="3">
        <v>10</v>
      </c>
      <c r="I5" s="27" t="s">
        <v>28</v>
      </c>
      <c r="J5" s="3">
        <v>20</v>
      </c>
      <c r="K5" s="3">
        <v>10</v>
      </c>
    </row>
    <row r="6" spans="1:17" ht="16.5" thickBot="1" x14ac:dyDescent="0.3">
      <c r="A6" s="1">
        <v>2</v>
      </c>
      <c r="D6" s="27" t="s">
        <v>15</v>
      </c>
      <c r="I6" s="27" t="s">
        <v>29</v>
      </c>
    </row>
    <row r="7" spans="1:17" ht="16.5" thickBot="1" x14ac:dyDescent="0.3">
      <c r="D7" s="27" t="s">
        <v>16</v>
      </c>
      <c r="F7" s="1">
        <v>20</v>
      </c>
      <c r="G7" s="1">
        <v>10</v>
      </c>
      <c r="I7" s="27" t="s">
        <v>30</v>
      </c>
      <c r="J7" s="1">
        <v>20</v>
      </c>
      <c r="K7" s="1">
        <v>10</v>
      </c>
    </row>
    <row r="8" spans="1:17" ht="16.5" thickBot="1" x14ac:dyDescent="0.3">
      <c r="D8" s="27" t="s">
        <v>17</v>
      </c>
      <c r="F8" s="1">
        <v>20</v>
      </c>
      <c r="G8" s="1">
        <v>110</v>
      </c>
      <c r="I8" s="27" t="s">
        <v>24</v>
      </c>
    </row>
    <row r="9" spans="1:17" ht="16.5" thickBot="1" x14ac:dyDescent="0.3">
      <c r="D9" s="27" t="s">
        <v>18</v>
      </c>
      <c r="I9" s="27" t="s">
        <v>31</v>
      </c>
    </row>
    <row r="10" spans="1:17" ht="16.5" thickBot="1" x14ac:dyDescent="0.3">
      <c r="D10" s="27" t="s">
        <v>19</v>
      </c>
      <c r="I10" s="27" t="s">
        <v>32</v>
      </c>
    </row>
    <row r="11" spans="1:17" ht="16.5" thickBot="1" x14ac:dyDescent="0.3">
      <c r="D11" s="27" t="s">
        <v>20</v>
      </c>
      <c r="F11" s="1">
        <v>20</v>
      </c>
      <c r="I11" s="27" t="s">
        <v>33</v>
      </c>
      <c r="J11" s="1">
        <v>20</v>
      </c>
      <c r="K11" s="1">
        <v>10</v>
      </c>
    </row>
    <row r="12" spans="1:17" ht="16.5" thickBot="1" x14ac:dyDescent="0.3">
      <c r="D12" s="27" t="s">
        <v>21</v>
      </c>
      <c r="I12" s="27" t="s">
        <v>34</v>
      </c>
      <c r="J12" s="1">
        <v>20</v>
      </c>
      <c r="K12" s="1">
        <v>10</v>
      </c>
      <c r="Q12" s="4">
        <v>27923.11</v>
      </c>
    </row>
    <row r="13" spans="1:17" ht="16.5" thickBot="1" x14ac:dyDescent="0.3">
      <c r="D13" s="27" t="s">
        <v>22</v>
      </c>
      <c r="F13" s="1">
        <v>20</v>
      </c>
      <c r="G13" s="1">
        <v>10</v>
      </c>
      <c r="I13" s="27" t="s">
        <v>35</v>
      </c>
      <c r="J13" s="1">
        <v>20</v>
      </c>
      <c r="K13" s="1">
        <v>10</v>
      </c>
      <c r="Q13" s="4">
        <v>5185.3500000000004</v>
      </c>
    </row>
    <row r="14" spans="1:17" ht="16.5" thickBot="1" x14ac:dyDescent="0.3">
      <c r="D14" s="27" t="s">
        <v>23</v>
      </c>
      <c r="F14" s="1">
        <v>20</v>
      </c>
      <c r="G14" s="1">
        <v>10</v>
      </c>
      <c r="I14" s="27" t="s">
        <v>36</v>
      </c>
    </row>
    <row r="15" spans="1:17" ht="16.5" thickBot="1" x14ac:dyDescent="0.3">
      <c r="D15" s="27" t="s">
        <v>24</v>
      </c>
      <c r="I15" s="27" t="s">
        <v>37</v>
      </c>
      <c r="M15" s="1">
        <v>60</v>
      </c>
    </row>
    <row r="16" spans="1:17" ht="16.5" thickBot="1" x14ac:dyDescent="0.3">
      <c r="D16" s="27" t="s">
        <v>25</v>
      </c>
      <c r="F16" s="1">
        <v>20</v>
      </c>
      <c r="G16" s="1">
        <v>10</v>
      </c>
      <c r="M16" s="1">
        <v>70</v>
      </c>
    </row>
    <row r="17" spans="4:13" ht="16.5" thickBot="1" x14ac:dyDescent="0.3">
      <c r="D17" s="27" t="s">
        <v>26</v>
      </c>
      <c r="F17" s="1">
        <v>20</v>
      </c>
      <c r="G17" s="1">
        <v>10</v>
      </c>
      <c r="M17" s="1">
        <v>14</v>
      </c>
    </row>
    <row r="18" spans="4:13" x14ac:dyDescent="0.25">
      <c r="M18" s="1">
        <v>180</v>
      </c>
    </row>
    <row r="19" spans="4:13" x14ac:dyDescent="0.25">
      <c r="M19" s="1">
        <v>10</v>
      </c>
    </row>
    <row r="20" spans="4:13" x14ac:dyDescent="0.25">
      <c r="M20" s="1">
        <v>20</v>
      </c>
    </row>
    <row r="21" spans="4:13" x14ac:dyDescent="0.25">
      <c r="E21" s="28" t="s">
        <v>38</v>
      </c>
      <c r="F21" s="28"/>
      <c r="G21" s="29">
        <v>300</v>
      </c>
    </row>
    <row r="22" spans="4:13" x14ac:dyDescent="0.25">
      <c r="E22" s="28" t="s">
        <v>39</v>
      </c>
      <c r="F22" s="28"/>
      <c r="G22" s="29">
        <v>240</v>
      </c>
    </row>
    <row r="23" spans="4:13" x14ac:dyDescent="0.25">
      <c r="E23" s="28" t="s">
        <v>40</v>
      </c>
      <c r="F23" s="28"/>
      <c r="G23" s="30">
        <v>-20</v>
      </c>
    </row>
    <row r="24" spans="4:13" x14ac:dyDescent="0.25">
      <c r="E24" s="28" t="s">
        <v>41</v>
      </c>
      <c r="F24" s="28"/>
      <c r="G24" s="30">
        <v>-350</v>
      </c>
    </row>
    <row r="25" spans="4:13" x14ac:dyDescent="0.25">
      <c r="E25" s="28" t="s">
        <v>42</v>
      </c>
      <c r="F25" s="28"/>
      <c r="G25" s="28">
        <f>SUM(G21:G24)</f>
        <v>170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3:S68"/>
  <sheetViews>
    <sheetView topLeftCell="C1" workbookViewId="0">
      <selection activeCell="K19" sqref="K19"/>
    </sheetView>
  </sheetViews>
  <sheetFormatPr defaultRowHeight="15" x14ac:dyDescent="0.25"/>
  <cols>
    <col min="6" max="6" width="14.42578125" bestFit="1" customWidth="1"/>
    <col min="7" max="7" width="4.5703125" bestFit="1" customWidth="1"/>
    <col min="8" max="8" width="11.7109375" bestFit="1" customWidth="1"/>
    <col min="9" max="9" width="19" bestFit="1" customWidth="1"/>
    <col min="10" max="11" width="10.140625" bestFit="1" customWidth="1"/>
    <col min="14" max="14" width="8.7109375" bestFit="1" customWidth="1"/>
    <col min="15" max="16" width="12.85546875" bestFit="1" customWidth="1"/>
    <col min="17" max="17" width="13.28515625" bestFit="1" customWidth="1"/>
  </cols>
  <sheetData>
    <row r="3" spans="6:18" ht="15.75" thickBot="1" x14ac:dyDescent="0.3"/>
    <row r="4" spans="6:18" ht="34.5" thickBot="1" x14ac:dyDescent="0.3">
      <c r="N4" s="13" t="s">
        <v>0</v>
      </c>
      <c r="O4" s="14" t="s">
        <v>1</v>
      </c>
      <c r="P4" s="14" t="s">
        <v>2</v>
      </c>
      <c r="Q4" s="15" t="s">
        <v>3</v>
      </c>
    </row>
    <row r="5" spans="6:18" ht="15.75" thickBot="1" x14ac:dyDescent="0.3">
      <c r="F5" s="5">
        <v>59605.59</v>
      </c>
      <c r="G5" s="6">
        <v>60</v>
      </c>
      <c r="H5" s="5">
        <v>993.43</v>
      </c>
      <c r="I5" s="7">
        <v>41954.704861111109</v>
      </c>
      <c r="J5" s="9">
        <v>19631.939999999999</v>
      </c>
      <c r="K5" s="9">
        <v>26438.29</v>
      </c>
      <c r="N5" s="10">
        <v>41944</v>
      </c>
      <c r="O5" s="11">
        <v>41971</v>
      </c>
      <c r="P5" s="11">
        <v>41971</v>
      </c>
      <c r="Q5" s="12">
        <v>993.43</v>
      </c>
      <c r="R5" s="19"/>
    </row>
    <row r="6" spans="6:18" x14ac:dyDescent="0.25">
      <c r="J6" s="9">
        <v>24740.66</v>
      </c>
      <c r="K6" s="9">
        <v>33167.300000000003</v>
      </c>
      <c r="N6" s="10">
        <v>41974</v>
      </c>
      <c r="O6" s="11">
        <v>42003</v>
      </c>
      <c r="P6" s="11">
        <v>42003</v>
      </c>
      <c r="Q6" s="12">
        <v>1003.36</v>
      </c>
      <c r="R6" s="19">
        <f t="shared" ref="R5:R20" si="0">(Q6-Q5)/Q5</f>
        <v>9.9956715621634783E-3</v>
      </c>
    </row>
    <row r="7" spans="6:18" x14ac:dyDescent="0.25">
      <c r="H7" s="8">
        <f>H5*32</f>
        <v>31789.759999999998</v>
      </c>
      <c r="N7" s="10">
        <v>42005</v>
      </c>
      <c r="O7" s="11">
        <v>42034</v>
      </c>
      <c r="P7" s="11">
        <v>42034</v>
      </c>
      <c r="Q7" s="12">
        <v>1012.9</v>
      </c>
      <c r="R7" s="19">
        <f t="shared" si="0"/>
        <v>9.5080529421144588E-3</v>
      </c>
    </row>
    <row r="8" spans="6:18" x14ac:dyDescent="0.25">
      <c r="N8" s="10">
        <v>42036</v>
      </c>
      <c r="O8" s="11">
        <v>42062</v>
      </c>
      <c r="P8" s="11">
        <v>42062</v>
      </c>
      <c r="Q8" s="12">
        <v>1022.23</v>
      </c>
      <c r="R8" s="19">
        <f t="shared" si="0"/>
        <v>9.2111758317702051E-3</v>
      </c>
    </row>
    <row r="9" spans="6:18" x14ac:dyDescent="0.25">
      <c r="N9" s="10">
        <v>42064</v>
      </c>
      <c r="O9" s="11">
        <v>42094</v>
      </c>
      <c r="P9" s="11">
        <v>42094</v>
      </c>
      <c r="Q9" s="12">
        <v>1030.3800000000001</v>
      </c>
      <c r="R9" s="19">
        <f t="shared" si="0"/>
        <v>7.9727654246109884E-3</v>
      </c>
    </row>
    <row r="10" spans="6:18" x14ac:dyDescent="0.25">
      <c r="N10" s="10">
        <v>42095</v>
      </c>
      <c r="O10" s="11">
        <v>42124</v>
      </c>
      <c r="P10" s="11">
        <v>42124</v>
      </c>
      <c r="Q10" s="12">
        <v>1040.71</v>
      </c>
      <c r="R10" s="19">
        <f t="shared" si="0"/>
        <v>1.0025427512179901E-2</v>
      </c>
    </row>
    <row r="11" spans="6:18" x14ac:dyDescent="0.25">
      <c r="N11" s="10">
        <v>42125</v>
      </c>
      <c r="O11" s="11">
        <v>42153</v>
      </c>
      <c r="P11" s="11">
        <v>42153</v>
      </c>
      <c r="Q11" s="12">
        <v>1050.1500000000001</v>
      </c>
      <c r="R11" s="19">
        <f t="shared" si="0"/>
        <v>9.0707305589453873E-3</v>
      </c>
    </row>
    <row r="12" spans="6:18" x14ac:dyDescent="0.25">
      <c r="J12" s="25">
        <v>37678.35</v>
      </c>
      <c r="N12" s="10">
        <v>42156</v>
      </c>
      <c r="O12" s="11">
        <v>42185</v>
      </c>
      <c r="P12" s="11">
        <v>42185</v>
      </c>
      <c r="Q12" s="12">
        <v>1059.98</v>
      </c>
      <c r="R12" s="19">
        <f t="shared" si="0"/>
        <v>9.360567537970696E-3</v>
      </c>
    </row>
    <row r="13" spans="6:18" x14ac:dyDescent="0.25">
      <c r="N13" s="10">
        <v>42186</v>
      </c>
      <c r="O13" s="11">
        <v>42216</v>
      </c>
      <c r="P13" s="11">
        <v>42216</v>
      </c>
      <c r="Q13" s="12">
        <v>1070.6099999999999</v>
      </c>
      <c r="R13" s="19">
        <f t="shared" si="0"/>
        <v>1.0028491103605616E-2</v>
      </c>
    </row>
    <row r="14" spans="6:18" x14ac:dyDescent="0.25">
      <c r="J14">
        <v>266.61</v>
      </c>
      <c r="N14" s="10">
        <v>42217</v>
      </c>
      <c r="O14" s="11">
        <v>42247</v>
      </c>
      <c r="P14" s="11">
        <v>42247</v>
      </c>
      <c r="Q14" s="12">
        <v>1082.3399999999999</v>
      </c>
      <c r="R14" s="19">
        <f t="shared" si="0"/>
        <v>1.0956370667189751E-2</v>
      </c>
    </row>
    <row r="15" spans="6:18" x14ac:dyDescent="0.25">
      <c r="J15">
        <f>J14*2%</f>
        <v>5.3322000000000003</v>
      </c>
      <c r="N15" s="10">
        <v>42248</v>
      </c>
      <c r="O15" s="11">
        <v>42277</v>
      </c>
      <c r="P15" s="11">
        <v>42277</v>
      </c>
      <c r="Q15" s="12">
        <v>1093.3599999999999</v>
      </c>
      <c r="R15" s="19">
        <f t="shared" si="0"/>
        <v>1.0181643476171981E-2</v>
      </c>
    </row>
    <row r="16" spans="6:18" x14ac:dyDescent="0.25">
      <c r="J16">
        <f>J14*0.0333%</f>
        <v>8.8781130000000014E-2</v>
      </c>
      <c r="N16" s="10">
        <v>42278</v>
      </c>
      <c r="O16" s="11">
        <v>42307</v>
      </c>
      <c r="P16" s="11">
        <v>42307</v>
      </c>
      <c r="Q16" s="12">
        <v>1104.3900000000001</v>
      </c>
      <c r="R16" s="19">
        <f t="shared" si="0"/>
        <v>1.00881685812543E-2</v>
      </c>
    </row>
    <row r="17" spans="10:18" x14ac:dyDescent="0.25">
      <c r="J17">
        <f>J16*18</f>
        <v>1.5980603400000002</v>
      </c>
      <c r="N17" s="10">
        <v>42309</v>
      </c>
      <c r="O17" s="11">
        <v>42338</v>
      </c>
      <c r="P17" s="11">
        <v>42338</v>
      </c>
      <c r="Q17" s="12">
        <v>1115.42</v>
      </c>
      <c r="R17" s="19">
        <f t="shared" si="0"/>
        <v>9.9874138664783011E-3</v>
      </c>
    </row>
    <row r="18" spans="10:18" x14ac:dyDescent="0.25">
      <c r="N18" s="10">
        <v>42339</v>
      </c>
      <c r="O18" s="11">
        <v>42368</v>
      </c>
      <c r="P18" s="11">
        <v>42368</v>
      </c>
      <c r="Q18" s="12">
        <v>1125.95</v>
      </c>
      <c r="R18" s="19">
        <f t="shared" si="0"/>
        <v>9.44039016693261E-3</v>
      </c>
    </row>
    <row r="19" spans="10:18" x14ac:dyDescent="0.25">
      <c r="K19">
        <v>109.48</v>
      </c>
      <c r="N19" s="10">
        <v>42370</v>
      </c>
      <c r="O19" s="11">
        <v>42398</v>
      </c>
      <c r="P19" s="11">
        <v>42398</v>
      </c>
      <c r="Q19" s="12">
        <v>1137.47</v>
      </c>
      <c r="R19" s="19">
        <f t="shared" si="0"/>
        <v>1.0231360184732875E-2</v>
      </c>
    </row>
    <row r="20" spans="10:18" x14ac:dyDescent="0.25">
      <c r="N20" s="10">
        <v>42401</v>
      </c>
      <c r="O20" s="11">
        <v>42429</v>
      </c>
      <c r="P20" s="11">
        <v>42429</v>
      </c>
      <c r="Q20" s="12">
        <v>1148</v>
      </c>
      <c r="R20" s="19">
        <f t="shared" si="0"/>
        <v>9.2573870080089778E-3</v>
      </c>
    </row>
    <row r="21" spans="10:18" x14ac:dyDescent="0.25">
      <c r="N21" s="10">
        <v>42430</v>
      </c>
      <c r="O21" s="11">
        <v>42460</v>
      </c>
      <c r="P21" s="11">
        <v>42460</v>
      </c>
      <c r="Q21" s="12">
        <v>1157.94</v>
      </c>
      <c r="R21" s="19">
        <f>(Q21-Q20)/Q20</f>
        <v>8.6585365853659012E-3</v>
      </c>
    </row>
    <row r="22" spans="10:18" x14ac:dyDescent="0.25">
      <c r="N22" s="10">
        <v>42461</v>
      </c>
      <c r="O22" s="11">
        <v>42489</v>
      </c>
      <c r="P22" s="11">
        <v>42489</v>
      </c>
      <c r="Q22" s="12">
        <v>1169.46</v>
      </c>
      <c r="R22" s="19">
        <f>(Q22-Q21)/Q21</f>
        <v>9.9487020052852326E-3</v>
      </c>
    </row>
    <row r="23" spans="10:18" x14ac:dyDescent="0.25">
      <c r="N23" s="10">
        <v>42491</v>
      </c>
      <c r="O23" s="11">
        <v>42521</v>
      </c>
      <c r="P23" s="11">
        <v>42521</v>
      </c>
      <c r="Q23" s="12">
        <v>1179.99</v>
      </c>
      <c r="R23" s="19">
        <f>(Q23-Q22)/Q22</f>
        <v>9.0041557641988377E-3</v>
      </c>
    </row>
    <row r="24" spans="10:18" x14ac:dyDescent="0.25">
      <c r="N24" s="10">
        <v>42522</v>
      </c>
      <c r="O24" s="11">
        <v>42551</v>
      </c>
      <c r="P24" s="11">
        <v>42551</v>
      </c>
      <c r="Q24" s="12">
        <v>1191.02</v>
      </c>
      <c r="R24" s="19">
        <f>(Q24-Q23)/Q23</f>
        <v>9.3475368435325494E-3</v>
      </c>
    </row>
    <row r="25" spans="10:18" x14ac:dyDescent="0.25">
      <c r="N25" s="10">
        <v>42552</v>
      </c>
      <c r="O25" s="11">
        <v>42580</v>
      </c>
      <c r="P25" s="11">
        <v>42571</v>
      </c>
      <c r="Q25" s="12">
        <v>1202.54</v>
      </c>
      <c r="R25" s="19">
        <f>(Q25-Q24)/Q24</f>
        <v>9.6723816560594974E-3</v>
      </c>
    </row>
    <row r="26" spans="10:18" x14ac:dyDescent="0.25">
      <c r="N26" s="10">
        <v>42583</v>
      </c>
      <c r="O26" s="11">
        <v>42613</v>
      </c>
      <c r="P26" s="11">
        <v>42613</v>
      </c>
      <c r="Q26" s="12">
        <v>1213.57</v>
      </c>
      <c r="R26" s="19">
        <f>(Q26-Q25)/Q25</f>
        <v>9.1722520664593056E-3</v>
      </c>
    </row>
    <row r="27" spans="10:18" x14ac:dyDescent="0.25">
      <c r="N27" s="10">
        <v>42614</v>
      </c>
      <c r="O27" s="11">
        <v>42643</v>
      </c>
      <c r="P27" s="11">
        <v>42643</v>
      </c>
      <c r="Q27" s="12">
        <v>1225.69</v>
      </c>
      <c r="R27" s="19">
        <f>(Q27-Q26)/Q26</f>
        <v>9.9870629629935804E-3</v>
      </c>
    </row>
    <row r="28" spans="10:18" x14ac:dyDescent="0.25">
      <c r="N28" s="10">
        <v>42644</v>
      </c>
      <c r="O28" s="11">
        <v>42674</v>
      </c>
      <c r="P28" s="11">
        <v>42674</v>
      </c>
      <c r="Q28" s="12">
        <v>1236.72</v>
      </c>
      <c r="R28" s="19">
        <f>(Q28-Q27)/Q27</f>
        <v>8.9990128009529106E-3</v>
      </c>
    </row>
    <row r="29" spans="10:18" x14ac:dyDescent="0.25">
      <c r="N29" s="10">
        <v>42675</v>
      </c>
      <c r="O29" s="11">
        <v>42704</v>
      </c>
      <c r="P29" s="11">
        <v>42704</v>
      </c>
      <c r="Q29" s="12">
        <v>1247.1500000000001</v>
      </c>
      <c r="R29" s="19">
        <f>(Q29-Q28)/Q28</f>
        <v>8.4335985510059375E-3</v>
      </c>
    </row>
    <row r="30" spans="10:18" x14ac:dyDescent="0.25">
      <c r="N30" s="10">
        <v>42705</v>
      </c>
      <c r="O30" s="11">
        <v>42733</v>
      </c>
      <c r="P30" s="11">
        <v>42733</v>
      </c>
      <c r="Q30" s="12">
        <v>1257.48</v>
      </c>
      <c r="R30" s="19">
        <f>(Q30-Q29)/Q29</f>
        <v>8.2828849777492088E-3</v>
      </c>
    </row>
    <row r="31" spans="10:18" x14ac:dyDescent="0.25">
      <c r="N31" s="10">
        <v>42736</v>
      </c>
      <c r="O31" s="11">
        <v>42766</v>
      </c>
      <c r="P31" s="11">
        <v>42766</v>
      </c>
      <c r="Q31" s="12">
        <v>1268.6099999999999</v>
      </c>
      <c r="R31" s="19">
        <f>(Q31-Q30)/Q30</f>
        <v>8.8510354041415225E-3</v>
      </c>
    </row>
    <row r="32" spans="10:18" ht="15.75" thickBot="1" x14ac:dyDescent="0.3">
      <c r="N32" s="16">
        <v>42767</v>
      </c>
      <c r="O32" s="17">
        <v>42790</v>
      </c>
      <c r="P32" s="17">
        <v>42790</v>
      </c>
      <c r="Q32" s="18">
        <v>1279.43</v>
      </c>
      <c r="R32" s="19">
        <f>(Q32-Q31)/Q31</f>
        <v>8.5290199509700897E-3</v>
      </c>
    </row>
    <row r="33" spans="17:19" x14ac:dyDescent="0.25">
      <c r="Q33" s="9">
        <v>1288.08</v>
      </c>
      <c r="R33" s="19">
        <f>(Q33-Q32)/Q32</f>
        <v>6.7608231790718233E-3</v>
      </c>
      <c r="S33" s="19">
        <f>(Q33-Q5)/Q5</f>
        <v>0.29659865315120337</v>
      </c>
    </row>
    <row r="34" spans="17:19" x14ac:dyDescent="0.25">
      <c r="Q34" s="8">
        <f t="shared" ref="Q34:Q68" si="1">Q33+(Q33*R33)</f>
        <v>1296.7884811204988</v>
      </c>
      <c r="R34" s="19">
        <v>8.5290199509700897E-3</v>
      </c>
    </row>
    <row r="35" spans="17:19" x14ac:dyDescent="0.25">
      <c r="Q35" s="8">
        <f t="shared" si="1"/>
        <v>1307.8488159481637</v>
      </c>
      <c r="R35" s="19">
        <v>8.5290199509700897E-3</v>
      </c>
    </row>
    <row r="36" spans="17:19" x14ac:dyDescent="0.25">
      <c r="Q36" s="8">
        <f t="shared" si="1"/>
        <v>1319.0034845922382</v>
      </c>
      <c r="R36" s="19">
        <v>8.5290199509700897E-3</v>
      </c>
    </row>
    <row r="37" spans="17:19" x14ac:dyDescent="0.25">
      <c r="Q37" s="8">
        <f t="shared" si="1"/>
        <v>1330.2532916277246</v>
      </c>
      <c r="R37" s="19">
        <v>8.5290199509700897E-3</v>
      </c>
    </row>
    <row r="38" spans="17:19" x14ac:dyDescent="0.25">
      <c r="Q38" s="8">
        <f t="shared" si="1"/>
        <v>1341.5990484918611</v>
      </c>
      <c r="R38" s="19">
        <v>8.5290199509700897E-3</v>
      </c>
    </row>
    <row r="39" spans="17:19" x14ac:dyDescent="0.25">
      <c r="Q39" s="8">
        <f t="shared" si="1"/>
        <v>1353.0415735426507</v>
      </c>
      <c r="R39" s="19">
        <v>8.5290199509700897E-3</v>
      </c>
    </row>
    <row r="40" spans="17:19" x14ac:dyDescent="0.25">
      <c r="Q40" s="8">
        <f t="shared" si="1"/>
        <v>1364.581692117888</v>
      </c>
      <c r="R40" s="19">
        <v>8.5290199509700897E-3</v>
      </c>
    </row>
    <row r="41" spans="17:19" x14ac:dyDescent="0.25">
      <c r="Q41" s="8">
        <f t="shared" si="1"/>
        <v>1376.22023659469</v>
      </c>
      <c r="R41" s="19">
        <v>8.5290199509700897E-3</v>
      </c>
    </row>
    <row r="42" spans="17:19" x14ac:dyDescent="0.25">
      <c r="Q42" s="8">
        <f t="shared" si="1"/>
        <v>1387.958046449535</v>
      </c>
      <c r="R42" s="19">
        <v>8.5290199509700897E-3</v>
      </c>
    </row>
    <row r="43" spans="17:19" x14ac:dyDescent="0.25">
      <c r="Q43" s="8">
        <f t="shared" si="1"/>
        <v>1399.7959683188126</v>
      </c>
      <c r="R43" s="19">
        <v>8.5290199509700897E-3</v>
      </c>
    </row>
    <row r="44" spans="17:19" x14ac:dyDescent="0.25">
      <c r="Q44" s="8">
        <f t="shared" si="1"/>
        <v>1411.7348560598912</v>
      </c>
      <c r="R44" s="19">
        <v>8.5290199509700897E-3</v>
      </c>
    </row>
    <row r="45" spans="17:19" x14ac:dyDescent="0.25">
      <c r="Q45" s="8">
        <f t="shared" si="1"/>
        <v>1423.7755708127058</v>
      </c>
      <c r="R45" s="19">
        <v>8.5290199509700897E-3</v>
      </c>
    </row>
    <row r="46" spans="17:19" x14ac:dyDescent="0.25">
      <c r="Q46" s="8">
        <f t="shared" si="1"/>
        <v>1435.9189810618711</v>
      </c>
      <c r="R46" s="19">
        <v>8.5290199509700897E-3</v>
      </c>
    </row>
    <row r="47" spans="17:19" x14ac:dyDescent="0.25">
      <c r="Q47" s="8">
        <f t="shared" si="1"/>
        <v>1448.1659626993244</v>
      </c>
      <c r="R47" s="19">
        <v>8.5290199509700897E-3</v>
      </c>
    </row>
    <row r="48" spans="17:19" x14ac:dyDescent="0.25">
      <c r="Q48" s="8">
        <f t="shared" si="1"/>
        <v>1460.5173990875028</v>
      </c>
      <c r="R48" s="19">
        <v>8.5290199509700897E-3</v>
      </c>
    </row>
    <row r="49" spans="17:18" x14ac:dyDescent="0.25">
      <c r="Q49" s="8">
        <f t="shared" si="1"/>
        <v>1472.974181123059</v>
      </c>
      <c r="R49" s="19">
        <v>8.5290199509700897E-3</v>
      </c>
    </row>
    <row r="50" spans="17:18" x14ac:dyDescent="0.25">
      <c r="Q50" s="8">
        <f t="shared" si="1"/>
        <v>1485.5372073011215</v>
      </c>
      <c r="R50" s="19">
        <v>8.5290199509700897E-3</v>
      </c>
    </row>
    <row r="51" spans="17:18" x14ac:dyDescent="0.25">
      <c r="Q51" s="8">
        <f t="shared" si="1"/>
        <v>1498.2073837801011</v>
      </c>
      <c r="R51" s="19">
        <v>8.5290199509700897E-3</v>
      </c>
    </row>
    <row r="52" spans="17:18" x14ac:dyDescent="0.25">
      <c r="Q52" s="8">
        <f t="shared" si="1"/>
        <v>1510.9856244470523</v>
      </c>
      <c r="R52" s="19">
        <v>8.5290199509700897E-3</v>
      </c>
    </row>
    <row r="53" spans="17:18" x14ac:dyDescent="0.25">
      <c r="Q53" s="8">
        <f t="shared" si="1"/>
        <v>1523.8728509835901</v>
      </c>
      <c r="R53" s="19">
        <v>8.5290199509700897E-3</v>
      </c>
    </row>
    <row r="54" spans="17:18" x14ac:dyDescent="0.25">
      <c r="Q54" s="8">
        <f t="shared" si="1"/>
        <v>1536.8699929323707</v>
      </c>
      <c r="R54" s="19">
        <v>8.5290199509700897E-3</v>
      </c>
    </row>
    <row r="55" spans="17:18" x14ac:dyDescent="0.25">
      <c r="Q55" s="8">
        <f t="shared" si="1"/>
        <v>1549.9779877641381</v>
      </c>
      <c r="R55" s="19">
        <v>8.5290199509700897E-3</v>
      </c>
    </row>
    <row r="56" spans="17:18" x14ac:dyDescent="0.25">
      <c r="Q56" s="8">
        <f t="shared" si="1"/>
        <v>1563.1977809453429</v>
      </c>
      <c r="R56" s="19">
        <v>8.5290199509700897E-3</v>
      </c>
    </row>
    <row r="57" spans="17:18" x14ac:dyDescent="0.25">
      <c r="Q57" s="8">
        <f t="shared" si="1"/>
        <v>1576.5303260063379</v>
      </c>
      <c r="R57" s="19">
        <v>8.5290199509700897E-3</v>
      </c>
    </row>
    <row r="58" spans="17:18" x14ac:dyDescent="0.25">
      <c r="Q58" s="8">
        <f t="shared" si="1"/>
        <v>1589.9765846101552</v>
      </c>
      <c r="R58" s="19">
        <v>8.5290199509700897E-3</v>
      </c>
    </row>
    <row r="59" spans="17:18" x14ac:dyDescent="0.25">
      <c r="Q59" s="8">
        <f t="shared" si="1"/>
        <v>1603.5375266218705</v>
      </c>
      <c r="R59" s="19">
        <v>8.5290199509700897E-3</v>
      </c>
    </row>
    <row r="60" spans="17:18" x14ac:dyDescent="0.25">
      <c r="Q60" s="8">
        <f t="shared" si="1"/>
        <v>1617.2141301785578</v>
      </c>
      <c r="R60" s="19">
        <v>8.5290199509700897E-3</v>
      </c>
    </row>
    <row r="61" spans="17:18" x14ac:dyDescent="0.25">
      <c r="Q61" s="8">
        <f t="shared" si="1"/>
        <v>1631.0073817598413</v>
      </c>
      <c r="R61" s="19">
        <v>8.5290199509700897E-3</v>
      </c>
    </row>
    <row r="62" spans="17:18" x14ac:dyDescent="0.25">
      <c r="Q62" s="8">
        <f t="shared" si="1"/>
        <v>1644.9182762590506</v>
      </c>
      <c r="R62" s="19">
        <v>8.5290199509700897E-3</v>
      </c>
    </row>
    <row r="63" spans="17:18" x14ac:dyDescent="0.25">
      <c r="Q63" s="8">
        <f t="shared" si="1"/>
        <v>1658.9478170549794</v>
      </c>
      <c r="R63" s="19">
        <v>8.5290199509700897E-3</v>
      </c>
    </row>
    <row r="64" spans="17:18" x14ac:dyDescent="0.25">
      <c r="Q64" s="8">
        <f t="shared" si="1"/>
        <v>1673.0970160842596</v>
      </c>
      <c r="R64" s="19">
        <v>8.5290199509700897E-3</v>
      </c>
    </row>
    <row r="65" spans="17:18" x14ac:dyDescent="0.25">
      <c r="Q65" s="8"/>
      <c r="R65" s="19"/>
    </row>
    <row r="66" spans="17:18" x14ac:dyDescent="0.25">
      <c r="Q66" s="8"/>
      <c r="R66" s="19"/>
    </row>
    <row r="67" spans="17:18" x14ac:dyDescent="0.25">
      <c r="Q67" s="8"/>
      <c r="R67" s="19"/>
    </row>
    <row r="68" spans="17:18" x14ac:dyDescent="0.25">
      <c r="Q68" s="8"/>
      <c r="R68" s="19"/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2"/>
  <sheetViews>
    <sheetView topLeftCell="A2" workbookViewId="0">
      <selection activeCell="L8" sqref="L8"/>
    </sheetView>
  </sheetViews>
  <sheetFormatPr defaultRowHeight="15" x14ac:dyDescent="0.25"/>
  <sheetData>
    <row r="2" spans="1:18" x14ac:dyDescent="0.25">
      <c r="A2" s="41"/>
      <c r="B2" s="41" t="s">
        <v>46</v>
      </c>
      <c r="C2" s="41" t="s">
        <v>49</v>
      </c>
      <c r="D2" s="41"/>
      <c r="G2" t="s">
        <v>46</v>
      </c>
      <c r="H2" t="s">
        <v>47</v>
      </c>
      <c r="I2" t="s">
        <v>42</v>
      </c>
      <c r="J2" t="s">
        <v>48</v>
      </c>
      <c r="N2" t="s">
        <v>49</v>
      </c>
      <c r="O2" t="s">
        <v>50</v>
      </c>
    </row>
    <row r="3" spans="1:18" x14ac:dyDescent="0.25">
      <c r="A3" s="41" t="s">
        <v>4</v>
      </c>
      <c r="B3" s="42">
        <v>201.27999999999997</v>
      </c>
      <c r="C3" s="42">
        <v>224.96</v>
      </c>
      <c r="D3" s="43">
        <f>B3-C3</f>
        <v>-23.680000000000035</v>
      </c>
      <c r="F3" t="s">
        <v>4</v>
      </c>
      <c r="G3" s="21">
        <v>248.64</v>
      </c>
      <c r="H3">
        <f>11.84*4</f>
        <v>47.36</v>
      </c>
      <c r="I3" s="22">
        <f>G3-H3</f>
        <v>201.27999999999997</v>
      </c>
      <c r="J3" s="20">
        <f>I3-230</f>
        <v>-28.720000000000027</v>
      </c>
      <c r="K3" s="3">
        <f>SUM(I3:J3)</f>
        <v>172.55999999999995</v>
      </c>
      <c r="L3" s="20">
        <v>-37.5</v>
      </c>
      <c r="N3" s="21">
        <v>224.96</v>
      </c>
      <c r="O3">
        <v>-5.04</v>
      </c>
      <c r="P3" s="3">
        <f>SUM(N3:O3)</f>
        <v>219.92000000000002</v>
      </c>
      <c r="Q3">
        <v>-37.5</v>
      </c>
    </row>
    <row r="4" spans="1:18" x14ac:dyDescent="0.25">
      <c r="A4" s="41" t="s">
        <v>5</v>
      </c>
      <c r="B4" s="42">
        <v>177.60000000000002</v>
      </c>
      <c r="C4" s="42">
        <v>213.12</v>
      </c>
      <c r="D4" s="43">
        <f t="shared" ref="D4:D10" si="0">B4-C4</f>
        <v>-35.519999999999982</v>
      </c>
      <c r="F4" t="s">
        <v>5</v>
      </c>
      <c r="G4" s="21">
        <v>236.8</v>
      </c>
      <c r="H4">
        <f>11.84*5</f>
        <v>59.2</v>
      </c>
      <c r="I4" s="22">
        <f>G4-H4</f>
        <v>177.60000000000002</v>
      </c>
      <c r="J4" s="20">
        <f>I4-230</f>
        <v>-52.399999999999977</v>
      </c>
      <c r="K4" s="3">
        <f t="shared" ref="K4:K6" si="1">SUM(I4:J4)</f>
        <v>125.20000000000005</v>
      </c>
      <c r="L4" s="20">
        <v>-37.5</v>
      </c>
      <c r="N4" s="21">
        <v>213.12</v>
      </c>
      <c r="O4">
        <v>-16.88</v>
      </c>
      <c r="P4" s="3">
        <f t="shared" ref="P4:P6" si="2">SUM(N4:O4)</f>
        <v>196.24</v>
      </c>
      <c r="Q4">
        <v>-37.5</v>
      </c>
    </row>
    <row r="5" spans="1:18" x14ac:dyDescent="0.25">
      <c r="A5" s="41" t="s">
        <v>6</v>
      </c>
      <c r="B5" s="42">
        <v>177.60000000000002</v>
      </c>
      <c r="C5" s="42">
        <v>236.8</v>
      </c>
      <c r="D5" s="43">
        <f t="shared" si="0"/>
        <v>-59.199999999999989</v>
      </c>
      <c r="F5" t="s">
        <v>6</v>
      </c>
      <c r="G5" s="21">
        <v>236.8</v>
      </c>
      <c r="H5">
        <f>11.84*5</f>
        <v>59.2</v>
      </c>
      <c r="I5" s="22">
        <f>G5-H5</f>
        <v>177.60000000000002</v>
      </c>
      <c r="J5" s="20">
        <f>I5-230</f>
        <v>-52.399999999999977</v>
      </c>
      <c r="K5" s="3">
        <f t="shared" si="1"/>
        <v>125.20000000000005</v>
      </c>
      <c r="L5" s="20">
        <v>-36</v>
      </c>
      <c r="N5" s="21">
        <v>236.8</v>
      </c>
      <c r="O5">
        <v>6.8</v>
      </c>
      <c r="P5" s="3">
        <f t="shared" si="2"/>
        <v>243.60000000000002</v>
      </c>
      <c r="Q5">
        <v>-36</v>
      </c>
    </row>
    <row r="6" spans="1:18" x14ac:dyDescent="0.25">
      <c r="A6" s="41" t="s">
        <v>7</v>
      </c>
      <c r="B6" s="42">
        <v>94.720000000000027</v>
      </c>
      <c r="C6" s="42">
        <v>35.520000000000003</v>
      </c>
      <c r="D6" s="43">
        <f t="shared" si="0"/>
        <v>59.200000000000024</v>
      </c>
      <c r="F6" t="s">
        <v>7</v>
      </c>
      <c r="G6" s="21">
        <v>260.48</v>
      </c>
      <c r="H6">
        <f>11.84*14</f>
        <v>165.76</v>
      </c>
      <c r="I6" s="22">
        <f>G6-H6</f>
        <v>94.720000000000027</v>
      </c>
      <c r="J6" s="20">
        <f>I6-230</f>
        <v>-135.27999999999997</v>
      </c>
      <c r="K6" s="3">
        <f>SUM(I6:J6)</f>
        <v>-40.559999999999945</v>
      </c>
      <c r="L6" s="20">
        <v>-40.5</v>
      </c>
      <c r="N6" s="21">
        <v>35.520000000000003</v>
      </c>
      <c r="O6">
        <v>-194.48</v>
      </c>
      <c r="P6" s="3">
        <f t="shared" si="2"/>
        <v>-158.95999999999998</v>
      </c>
      <c r="Q6">
        <v>-40.5</v>
      </c>
    </row>
    <row r="7" spans="1:18" x14ac:dyDescent="0.25">
      <c r="A7" s="41" t="s">
        <v>8</v>
      </c>
      <c r="B7" s="42">
        <v>130.24</v>
      </c>
      <c r="C7" s="42">
        <v>130.24</v>
      </c>
      <c r="D7" s="43">
        <f t="shared" si="0"/>
        <v>0</v>
      </c>
    </row>
    <row r="8" spans="1:18" x14ac:dyDescent="0.25">
      <c r="A8" s="41" t="s">
        <v>9</v>
      </c>
      <c r="B8" s="42">
        <v>91.2</v>
      </c>
      <c r="C8" s="42">
        <v>152</v>
      </c>
      <c r="D8" s="43">
        <f t="shared" si="0"/>
        <v>-60.8</v>
      </c>
      <c r="I8" s="23">
        <f>SUM(I3:I7)</f>
        <v>651.20000000000005</v>
      </c>
      <c r="J8">
        <f>SUM(J3:J7)</f>
        <v>-268.79999999999995</v>
      </c>
      <c r="N8" s="24">
        <f>SUM(N3:N7)</f>
        <v>710.40000000000009</v>
      </c>
      <c r="O8">
        <f>SUM(O3:O7)</f>
        <v>-209.6</v>
      </c>
      <c r="R8">
        <f>J8-O8</f>
        <v>-59.19999999999996</v>
      </c>
    </row>
    <row r="9" spans="1:18" x14ac:dyDescent="0.25">
      <c r="A9" s="41" t="s">
        <v>10</v>
      </c>
      <c r="B9" s="42">
        <v>167.20000000000002</v>
      </c>
      <c r="C9" s="42">
        <v>152</v>
      </c>
      <c r="D9" s="43">
        <f t="shared" si="0"/>
        <v>15.200000000000017</v>
      </c>
      <c r="G9" t="s">
        <v>46</v>
      </c>
      <c r="H9" t="s">
        <v>47</v>
      </c>
      <c r="I9" t="s">
        <v>42</v>
      </c>
      <c r="J9" t="s">
        <v>48</v>
      </c>
      <c r="N9" t="s">
        <v>49</v>
      </c>
      <c r="O9" t="s">
        <v>50</v>
      </c>
    </row>
    <row r="10" spans="1:18" x14ac:dyDescent="0.25">
      <c r="A10" s="41" t="s">
        <v>11</v>
      </c>
      <c r="B10" s="42">
        <v>136.80000000000001</v>
      </c>
      <c r="C10" s="42">
        <v>32</v>
      </c>
      <c r="D10" s="43">
        <f t="shared" si="0"/>
        <v>104.80000000000001</v>
      </c>
      <c r="F10" t="s">
        <v>8</v>
      </c>
      <c r="G10" s="21">
        <v>260.48</v>
      </c>
      <c r="H10">
        <f>11.84*11</f>
        <v>130.24</v>
      </c>
      <c r="I10" s="22">
        <f>G10-H10</f>
        <v>130.24</v>
      </c>
      <c r="J10" s="20">
        <f>I10-230</f>
        <v>-99.759999999999991</v>
      </c>
      <c r="K10" s="3">
        <f>SUM(I10:J10)</f>
        <v>30.480000000000018</v>
      </c>
      <c r="L10">
        <v>-132.9</v>
      </c>
      <c r="N10">
        <v>130.24</v>
      </c>
      <c r="O10">
        <v>-99.76</v>
      </c>
      <c r="P10" s="3">
        <f>SUM(N10:O10)</f>
        <v>30.480000000000004</v>
      </c>
      <c r="Q10">
        <v>-132.9</v>
      </c>
    </row>
    <row r="11" spans="1:18" x14ac:dyDescent="0.25">
      <c r="F11" t="s">
        <v>9</v>
      </c>
      <c r="G11">
        <v>152</v>
      </c>
      <c r="H11">
        <f>7.6*8</f>
        <v>60.8</v>
      </c>
      <c r="I11" s="22">
        <f t="shared" ref="I11:I13" si="3">G11-H11</f>
        <v>91.2</v>
      </c>
      <c r="J11" s="20">
        <f>I11-152</f>
        <v>-60.8</v>
      </c>
      <c r="K11" s="3">
        <f>SUM(I11:J11)</f>
        <v>30.400000000000006</v>
      </c>
      <c r="L11">
        <v>-132.9</v>
      </c>
      <c r="N11">
        <v>152</v>
      </c>
      <c r="P11" s="3">
        <f t="shared" ref="P10:P13" si="4">SUM(N11:O11)</f>
        <v>152</v>
      </c>
      <c r="Q11">
        <v>-132.9</v>
      </c>
    </row>
    <row r="12" spans="1:18" x14ac:dyDescent="0.25">
      <c r="B12">
        <f>SUM(B3:B11)</f>
        <v>1176.6400000000001</v>
      </c>
      <c r="C12">
        <f>SUM(C3:C11)</f>
        <v>1176.6400000000001</v>
      </c>
      <c r="D12" s="44">
        <f>SUM(D3:D10)</f>
        <v>0</v>
      </c>
      <c r="F12" t="s">
        <v>10</v>
      </c>
      <c r="G12">
        <v>174.8</v>
      </c>
      <c r="H12">
        <f>7.6*1</f>
        <v>7.6</v>
      </c>
      <c r="I12" s="22">
        <f t="shared" si="3"/>
        <v>167.20000000000002</v>
      </c>
      <c r="J12" s="20">
        <f>I12-230</f>
        <v>-62.799999999999983</v>
      </c>
      <c r="K12" s="3">
        <f t="shared" ref="K12:K13" si="5">SUM(I12:J12)</f>
        <v>104.40000000000003</v>
      </c>
      <c r="L12">
        <v>-139.55000000000001</v>
      </c>
      <c r="N12">
        <v>152</v>
      </c>
      <c r="O12">
        <v>-78</v>
      </c>
      <c r="P12" s="3">
        <f t="shared" si="4"/>
        <v>74</v>
      </c>
      <c r="Q12">
        <v>-139.55000000000001</v>
      </c>
    </row>
    <row r="13" spans="1:18" x14ac:dyDescent="0.25">
      <c r="F13" t="s">
        <v>11</v>
      </c>
      <c r="G13">
        <v>136.80000000000001</v>
      </c>
      <c r="I13" s="22">
        <f t="shared" si="3"/>
        <v>136.80000000000001</v>
      </c>
      <c r="J13" s="20">
        <f>I13-230</f>
        <v>-93.199999999999989</v>
      </c>
      <c r="K13" s="3">
        <f t="shared" si="5"/>
        <v>43.600000000000023</v>
      </c>
      <c r="L13">
        <v>-139.55000000000001</v>
      </c>
      <c r="N13">
        <v>32</v>
      </c>
      <c r="O13">
        <v>-198</v>
      </c>
      <c r="P13" s="3">
        <f t="shared" si="4"/>
        <v>-166</v>
      </c>
      <c r="Q13">
        <v>-139.55000000000001</v>
      </c>
    </row>
    <row r="15" spans="1:18" x14ac:dyDescent="0.25">
      <c r="I15" s="23">
        <f>SUM(I10:I14)</f>
        <v>525.44000000000005</v>
      </c>
      <c r="J15">
        <f>SUM(J10:J14)</f>
        <v>-316.55999999999995</v>
      </c>
      <c r="N15" s="24">
        <f>SUM(N10:N14)</f>
        <v>466.24</v>
      </c>
      <c r="O15">
        <f>SUM(O10:O14)</f>
        <v>-375.76</v>
      </c>
      <c r="R15">
        <f>J15-O15</f>
        <v>59.200000000000045</v>
      </c>
    </row>
    <row r="17" spans="7:17" x14ac:dyDescent="0.25">
      <c r="G17">
        <f>SUM(G3:G13)</f>
        <v>1706.8</v>
      </c>
      <c r="H17">
        <f t="shared" ref="H17:Q17" si="6">SUM(H3:H13)</f>
        <v>530.16</v>
      </c>
      <c r="I17">
        <f t="shared" si="6"/>
        <v>1827.8400000000001</v>
      </c>
      <c r="J17">
        <f t="shared" si="6"/>
        <v>-854.15999999999985</v>
      </c>
      <c r="K17">
        <f t="shared" si="6"/>
        <v>591.28000000000009</v>
      </c>
      <c r="L17">
        <f t="shared" si="6"/>
        <v>-696.39999999999986</v>
      </c>
      <c r="N17">
        <f t="shared" si="6"/>
        <v>1887.0400000000002</v>
      </c>
      <c r="O17">
        <f t="shared" si="6"/>
        <v>-794.96</v>
      </c>
      <c r="P17">
        <f t="shared" si="6"/>
        <v>591.28</v>
      </c>
      <c r="Q17">
        <f t="shared" si="6"/>
        <v>-696.39999999999986</v>
      </c>
    </row>
    <row r="19" spans="7:17" x14ac:dyDescent="0.25">
      <c r="N19">
        <f>N17-G17</f>
        <v>180.24000000000024</v>
      </c>
    </row>
    <row r="21" spans="7:17" x14ac:dyDescent="0.25">
      <c r="L21">
        <f>-11.84*5</f>
        <v>-59.2</v>
      </c>
      <c r="M21">
        <f>7.6*18</f>
        <v>136.79999999999998</v>
      </c>
      <c r="O21">
        <f>7.6*7</f>
        <v>53.199999999999996</v>
      </c>
    </row>
    <row r="22" spans="7:17" x14ac:dyDescent="0.25">
      <c r="L22">
        <f>-7.6*6</f>
        <v>-45.599999999999994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M25"/>
  <sheetViews>
    <sheetView topLeftCell="A7" workbookViewId="0">
      <selection activeCell="F21" sqref="F21"/>
    </sheetView>
  </sheetViews>
  <sheetFormatPr defaultRowHeight="15" x14ac:dyDescent="0.25"/>
  <cols>
    <col min="3" max="4" width="10.7109375" bestFit="1" customWidth="1"/>
    <col min="5" max="5" width="12.140625" bestFit="1" customWidth="1"/>
    <col min="6" max="6" width="10.5703125" bestFit="1" customWidth="1"/>
    <col min="13" max="13" width="9.5703125" bestFit="1" customWidth="1"/>
  </cols>
  <sheetData>
    <row r="7" spans="2:13" ht="15.75" thickBot="1" x14ac:dyDescent="0.3">
      <c r="C7" t="s">
        <v>51</v>
      </c>
      <c r="D7" t="s">
        <v>52</v>
      </c>
    </row>
    <row r="8" spans="2:13" ht="15.75" thickBot="1" x14ac:dyDescent="0.3">
      <c r="B8" s="45">
        <v>42370</v>
      </c>
      <c r="C8" s="73">
        <f>7*14</f>
        <v>98</v>
      </c>
      <c r="D8" s="47">
        <v>105</v>
      </c>
      <c r="E8" s="54">
        <v>-105</v>
      </c>
      <c r="F8" s="77">
        <v>-98</v>
      </c>
      <c r="G8" s="46">
        <f>C8-D8</f>
        <v>-7</v>
      </c>
      <c r="H8" s="78">
        <f>E8-F8</f>
        <v>-7</v>
      </c>
    </row>
    <row r="9" spans="2:13" ht="15.75" thickBot="1" x14ac:dyDescent="0.3">
      <c r="B9" s="45">
        <v>42401</v>
      </c>
      <c r="C9" s="73">
        <f>7.6*18</f>
        <v>136.79999999999998</v>
      </c>
      <c r="D9" s="59">
        <v>129.79999999999998</v>
      </c>
      <c r="E9" s="48">
        <v>-122.77799999999999</v>
      </c>
      <c r="F9" s="76">
        <f>E9</f>
        <v>-122.77799999999999</v>
      </c>
      <c r="G9" s="46">
        <f t="shared" ref="G9:G23" si="0">C9-D9</f>
        <v>7</v>
      </c>
      <c r="H9" s="78">
        <f t="shared" ref="H9:H13" si="1">E9-F9</f>
        <v>0</v>
      </c>
    </row>
    <row r="10" spans="2:13" ht="15.75" thickBot="1" x14ac:dyDescent="0.3">
      <c r="B10" s="45">
        <v>42430</v>
      </c>
      <c r="C10" s="73">
        <f>7.6*17</f>
        <v>129.19999999999999</v>
      </c>
      <c r="D10" s="60">
        <v>136.79999999999998</v>
      </c>
      <c r="E10" s="49">
        <v>-129.53099999999998</v>
      </c>
      <c r="F10" s="74">
        <v>-129.19999999999999</v>
      </c>
      <c r="G10" s="46">
        <f t="shared" si="0"/>
        <v>-7.5999999999999943</v>
      </c>
      <c r="H10" s="78">
        <f t="shared" si="1"/>
        <v>-0.33099999999998886</v>
      </c>
    </row>
    <row r="11" spans="2:13" ht="15.75" thickBot="1" x14ac:dyDescent="0.3">
      <c r="B11" s="45">
        <v>42461</v>
      </c>
      <c r="C11" s="73">
        <f>7.6*12</f>
        <v>91.199999999999989</v>
      </c>
      <c r="D11" s="61">
        <v>91.2</v>
      </c>
      <c r="E11" s="50">
        <v>-64.765499999999989</v>
      </c>
      <c r="F11" s="76">
        <v>-91.2</v>
      </c>
      <c r="G11" s="46">
        <f t="shared" si="0"/>
        <v>0</v>
      </c>
      <c r="H11" s="78">
        <f t="shared" si="1"/>
        <v>26.434500000000014</v>
      </c>
    </row>
    <row r="12" spans="2:13" ht="15.75" thickBot="1" x14ac:dyDescent="0.3">
      <c r="B12" s="45">
        <v>42491</v>
      </c>
      <c r="C12" s="73">
        <f>7.6*20</f>
        <v>152</v>
      </c>
      <c r="D12" s="62">
        <v>152</v>
      </c>
      <c r="E12" s="51">
        <v>-129.53099999999998</v>
      </c>
      <c r="F12" s="76">
        <f>E12</f>
        <v>-129.53099999999998</v>
      </c>
      <c r="G12" s="46">
        <f t="shared" si="0"/>
        <v>0</v>
      </c>
      <c r="H12" s="78">
        <f t="shared" si="1"/>
        <v>0</v>
      </c>
    </row>
    <row r="13" spans="2:13" ht="15.75" thickBot="1" x14ac:dyDescent="0.3">
      <c r="B13" s="45">
        <v>42522</v>
      </c>
      <c r="C13" s="73">
        <f>7.6*16</f>
        <v>121.6</v>
      </c>
      <c r="D13" s="63">
        <v>159.6</v>
      </c>
      <c r="E13" s="52">
        <v>-129.53099999999998</v>
      </c>
      <c r="F13" s="74">
        <v>-121.6</v>
      </c>
      <c r="G13" s="46">
        <f t="shared" si="0"/>
        <v>-38</v>
      </c>
      <c r="H13" s="78">
        <f t="shared" si="1"/>
        <v>-7.9309999999999832</v>
      </c>
    </row>
    <row r="14" spans="2:13" ht="15.75" thickBot="1" x14ac:dyDescent="0.3">
      <c r="B14" s="45">
        <v>42552</v>
      </c>
      <c r="C14" s="73">
        <f>7.6*21</f>
        <v>159.6</v>
      </c>
      <c r="D14" s="64">
        <v>114</v>
      </c>
      <c r="E14" s="52">
        <v>-129.53099999999998</v>
      </c>
      <c r="F14" s="76">
        <f>E14</f>
        <v>-129.53099999999998</v>
      </c>
      <c r="G14" s="46">
        <f t="shared" si="0"/>
        <v>45.599999999999994</v>
      </c>
      <c r="H14" s="78">
        <f t="shared" ref="H9:H23" si="2">E14-F14</f>
        <v>0</v>
      </c>
      <c r="M14">
        <v>248228.17</v>
      </c>
    </row>
    <row r="15" spans="2:13" ht="15.75" thickBot="1" x14ac:dyDescent="0.3">
      <c r="B15" s="45">
        <v>42583</v>
      </c>
      <c r="C15" s="73">
        <f>7.6*23</f>
        <v>174.79999999999998</v>
      </c>
      <c r="D15" s="65">
        <v>174.79999999999998</v>
      </c>
      <c r="E15" s="52">
        <v>-129.53099999999998</v>
      </c>
      <c r="F15" s="76">
        <f t="shared" ref="F15:F18" si="3">E15</f>
        <v>-129.53099999999998</v>
      </c>
      <c r="G15" s="46">
        <f t="shared" si="0"/>
        <v>0</v>
      </c>
      <c r="H15" s="78">
        <f t="shared" si="2"/>
        <v>0</v>
      </c>
    </row>
    <row r="16" spans="2:13" ht="15.75" thickBot="1" x14ac:dyDescent="0.3">
      <c r="B16" s="45">
        <v>42614</v>
      </c>
      <c r="C16" s="73">
        <f>7.6*21</f>
        <v>159.6</v>
      </c>
      <c r="D16" s="66">
        <v>159.6</v>
      </c>
      <c r="E16" s="53">
        <v>-136.3818</v>
      </c>
      <c r="F16" s="76">
        <f t="shared" si="3"/>
        <v>-136.3818</v>
      </c>
      <c r="G16" s="46">
        <f t="shared" si="0"/>
        <v>0</v>
      </c>
      <c r="H16" s="78">
        <f t="shared" si="2"/>
        <v>0</v>
      </c>
      <c r="M16" s="79">
        <v>128088.76</v>
      </c>
    </row>
    <row r="17" spans="2:8" ht="15.75" thickBot="1" x14ac:dyDescent="0.3">
      <c r="B17" s="45">
        <v>42644</v>
      </c>
      <c r="C17" s="73">
        <f>7.6*19</f>
        <v>144.4</v>
      </c>
      <c r="D17" s="67">
        <v>152</v>
      </c>
      <c r="E17" s="53">
        <v>-136.3818</v>
      </c>
      <c r="F17" s="76">
        <f t="shared" si="3"/>
        <v>-136.3818</v>
      </c>
      <c r="G17" s="46">
        <f t="shared" si="0"/>
        <v>-7.5999999999999943</v>
      </c>
      <c r="H17" s="78">
        <f t="shared" si="2"/>
        <v>0</v>
      </c>
    </row>
    <row r="18" spans="2:8" ht="15.75" thickBot="1" x14ac:dyDescent="0.3">
      <c r="B18" s="45">
        <v>42675</v>
      </c>
      <c r="C18" s="73">
        <f>7.6*19</f>
        <v>144.4</v>
      </c>
      <c r="D18" s="68">
        <v>152</v>
      </c>
      <c r="E18" s="53">
        <v>-136.3818</v>
      </c>
      <c r="F18" s="76">
        <f t="shared" si="3"/>
        <v>-136.3818</v>
      </c>
      <c r="G18" s="46">
        <f t="shared" si="0"/>
        <v>-7.5999999999999943</v>
      </c>
      <c r="H18" s="78">
        <f t="shared" si="2"/>
        <v>0</v>
      </c>
    </row>
    <row r="19" spans="2:8" ht="15.75" thickBot="1" x14ac:dyDescent="0.3">
      <c r="B19" s="45">
        <v>42705</v>
      </c>
      <c r="C19" s="73">
        <f>7.6*13</f>
        <v>98.8</v>
      </c>
      <c r="D19" s="69">
        <v>106.39999999999999</v>
      </c>
      <c r="E19" s="55">
        <v>-106.4</v>
      </c>
      <c r="F19" s="74">
        <v>-98.8</v>
      </c>
      <c r="G19" s="46">
        <f t="shared" si="0"/>
        <v>-7.5999999999999943</v>
      </c>
      <c r="H19" s="78">
        <f t="shared" si="2"/>
        <v>-7.6000000000000085</v>
      </c>
    </row>
    <row r="20" spans="2:8" ht="15.75" thickBot="1" x14ac:dyDescent="0.3">
      <c r="B20" s="45">
        <v>42736</v>
      </c>
      <c r="C20" s="73">
        <f>7.6*17</f>
        <v>129.19999999999999</v>
      </c>
      <c r="D20" s="70">
        <v>106.39999999999999</v>
      </c>
      <c r="E20" s="56">
        <v>-106.4</v>
      </c>
      <c r="F20" s="76">
        <f>E20</f>
        <v>-106.4</v>
      </c>
      <c r="G20" s="46">
        <f t="shared" si="0"/>
        <v>22.799999999999997</v>
      </c>
      <c r="H20" s="78">
        <f t="shared" si="2"/>
        <v>0</v>
      </c>
    </row>
    <row r="21" spans="2:8" ht="15.75" thickBot="1" x14ac:dyDescent="0.3">
      <c r="B21" s="45">
        <v>42767</v>
      </c>
      <c r="C21" s="73">
        <f>7.6*18</f>
        <v>136.79999999999998</v>
      </c>
      <c r="D21" s="71">
        <v>152</v>
      </c>
      <c r="E21" s="57">
        <v>-106.4</v>
      </c>
      <c r="F21" s="76">
        <v>-136.38</v>
      </c>
      <c r="G21" s="46">
        <f t="shared" si="0"/>
        <v>-15.200000000000017</v>
      </c>
      <c r="H21" s="78">
        <f t="shared" si="2"/>
        <v>29.97999999999999</v>
      </c>
    </row>
    <row r="22" spans="2:8" ht="15.75" thickBot="1" x14ac:dyDescent="0.3">
      <c r="B22" s="45">
        <v>42795</v>
      </c>
      <c r="C22" s="73">
        <f>7.6*12</f>
        <v>91.199999999999989</v>
      </c>
      <c r="D22" s="72">
        <v>152</v>
      </c>
      <c r="E22" s="58">
        <f>-91.2-29.98</f>
        <v>-121.18</v>
      </c>
      <c r="F22" s="74">
        <v>-91.2</v>
      </c>
      <c r="G22" s="46">
        <f t="shared" si="0"/>
        <v>-60.800000000000011</v>
      </c>
      <c r="H22" s="78">
        <f t="shared" si="2"/>
        <v>-29.980000000000004</v>
      </c>
    </row>
    <row r="23" spans="2:8" ht="15.75" thickBot="1" x14ac:dyDescent="0.3">
      <c r="B23" s="45">
        <v>42826</v>
      </c>
      <c r="C23" s="73">
        <f>7.6*17</f>
        <v>129.19999999999999</v>
      </c>
      <c r="D23" s="73">
        <v>53.199999999999989</v>
      </c>
      <c r="E23" s="58">
        <v>-129.19999999999999</v>
      </c>
      <c r="F23" s="74">
        <v>-129.19999999999999</v>
      </c>
      <c r="G23" s="46">
        <f t="shared" si="0"/>
        <v>76</v>
      </c>
      <c r="H23" s="78">
        <f t="shared" si="2"/>
        <v>0</v>
      </c>
    </row>
    <row r="25" spans="2:8" x14ac:dyDescent="0.25">
      <c r="C25" s="75">
        <f>SUM(C8:C24)</f>
        <v>2096.8000000000002</v>
      </c>
      <c r="D25" s="75">
        <f>SUM(D8:D24)</f>
        <v>2096.8000000000002</v>
      </c>
      <c r="E25" s="76">
        <f>SUM(E8:E24)</f>
        <v>-1918.9239000000002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Q18"/>
  <sheetViews>
    <sheetView tabSelected="1" workbookViewId="0">
      <selection activeCell="K10" sqref="K10"/>
    </sheetView>
  </sheetViews>
  <sheetFormatPr defaultRowHeight="15" x14ac:dyDescent="0.25"/>
  <cols>
    <col min="1" max="3" width="9.140625" style="1"/>
    <col min="4" max="4" width="12.28515625" style="34" bestFit="1" customWidth="1"/>
    <col min="5" max="5" width="12.28515625" style="34" customWidth="1"/>
    <col min="6" max="7" width="9.85546875" style="34" bestFit="1" customWidth="1"/>
    <col min="8" max="8" width="9.85546875" style="34" customWidth="1"/>
    <col min="9" max="9" width="9.140625" style="34"/>
    <col min="10" max="10" width="10.5703125" style="34" bestFit="1" customWidth="1"/>
    <col min="11" max="11" width="12.28515625" style="34" customWidth="1"/>
    <col min="12" max="13" width="9.85546875" style="34" bestFit="1" customWidth="1"/>
    <col min="14" max="14" width="9.140625" style="1"/>
    <col min="15" max="15" width="18.28515625" style="1" bestFit="1" customWidth="1"/>
    <col min="16" max="16" width="9.85546875" style="1" bestFit="1" customWidth="1"/>
    <col min="17" max="16384" width="9.140625" style="1"/>
  </cols>
  <sheetData>
    <row r="2" spans="4:17" ht="15.75" thickBot="1" x14ac:dyDescent="0.3"/>
    <row r="3" spans="4:17" ht="15.75" thickBot="1" x14ac:dyDescent="0.3">
      <c r="E3" s="38" t="s">
        <v>45</v>
      </c>
      <c r="F3" s="33" t="s">
        <v>43</v>
      </c>
      <c r="G3" s="33" t="s">
        <v>44</v>
      </c>
      <c r="H3" s="33" t="s">
        <v>53</v>
      </c>
      <c r="K3" s="38" t="s">
        <v>45</v>
      </c>
      <c r="L3" s="33" t="s">
        <v>43</v>
      </c>
      <c r="M3" s="33" t="s">
        <v>44</v>
      </c>
      <c r="O3" s="81" t="s">
        <v>38</v>
      </c>
      <c r="P3" s="82">
        <v>300</v>
      </c>
    </row>
    <row r="4" spans="4:17" ht="16.5" thickBot="1" x14ac:dyDescent="0.3">
      <c r="D4" s="31" t="s">
        <v>12</v>
      </c>
      <c r="E4" s="39">
        <v>20</v>
      </c>
      <c r="F4" s="35">
        <v>10</v>
      </c>
      <c r="G4" s="35">
        <v>10</v>
      </c>
      <c r="H4" s="35"/>
      <c r="J4" s="31" t="s">
        <v>28</v>
      </c>
      <c r="K4" s="39">
        <v>20</v>
      </c>
      <c r="L4" s="35">
        <v>10</v>
      </c>
      <c r="M4" s="36"/>
      <c r="O4" s="83" t="s">
        <v>39</v>
      </c>
      <c r="P4" s="84">
        <v>340</v>
      </c>
    </row>
    <row r="5" spans="4:17" ht="16.5" thickBot="1" x14ac:dyDescent="0.3">
      <c r="D5" s="31" t="s">
        <v>15</v>
      </c>
      <c r="E5" s="39"/>
      <c r="F5" s="35"/>
      <c r="G5" s="37"/>
      <c r="H5" s="35"/>
      <c r="J5" s="32" t="s">
        <v>30</v>
      </c>
      <c r="K5" s="39">
        <v>20</v>
      </c>
      <c r="L5" s="35">
        <v>10</v>
      </c>
      <c r="M5" s="36"/>
      <c r="O5" s="83" t="s">
        <v>40</v>
      </c>
      <c r="P5" s="85">
        <v>-20</v>
      </c>
    </row>
    <row r="6" spans="4:17" ht="16.5" thickBot="1" x14ac:dyDescent="0.3">
      <c r="D6" s="31" t="s">
        <v>16</v>
      </c>
      <c r="E6" s="39">
        <v>20</v>
      </c>
      <c r="F6" s="35">
        <v>10</v>
      </c>
      <c r="G6" s="35">
        <v>10</v>
      </c>
      <c r="H6" s="35"/>
      <c r="J6" s="32" t="s">
        <v>24</v>
      </c>
      <c r="K6" s="37"/>
      <c r="L6" s="37"/>
      <c r="M6" s="37"/>
      <c r="O6" s="83" t="s">
        <v>41</v>
      </c>
      <c r="P6" s="85">
        <v>-350</v>
      </c>
    </row>
    <row r="7" spans="4:17" ht="16.5" thickBot="1" x14ac:dyDescent="0.3">
      <c r="D7" s="31" t="s">
        <v>17</v>
      </c>
      <c r="E7" s="39">
        <v>20</v>
      </c>
      <c r="F7" s="35">
        <v>10</v>
      </c>
      <c r="G7" s="35">
        <v>10</v>
      </c>
      <c r="H7" s="35"/>
      <c r="J7" s="32" t="s">
        <v>32</v>
      </c>
      <c r="K7" s="40"/>
      <c r="L7" s="36"/>
      <c r="M7" s="37"/>
      <c r="O7" s="83" t="s">
        <v>54</v>
      </c>
      <c r="P7" s="85">
        <v>-300</v>
      </c>
    </row>
    <row r="8" spans="4:17" ht="16.5" thickBot="1" x14ac:dyDescent="0.3">
      <c r="D8" s="31" t="s">
        <v>18</v>
      </c>
      <c r="E8" s="39"/>
      <c r="F8" s="35">
        <v>10</v>
      </c>
      <c r="G8" s="37"/>
      <c r="H8" s="35"/>
      <c r="J8" s="32" t="s">
        <v>33</v>
      </c>
      <c r="K8" s="39">
        <v>20</v>
      </c>
      <c r="L8" s="35">
        <v>10</v>
      </c>
      <c r="M8" s="35">
        <v>13</v>
      </c>
      <c r="O8" s="86" t="s">
        <v>56</v>
      </c>
      <c r="P8" s="87">
        <v>10</v>
      </c>
    </row>
    <row r="9" spans="4:17" ht="16.5" thickBot="1" x14ac:dyDescent="0.3">
      <c r="D9" s="31" t="s">
        <v>20</v>
      </c>
      <c r="E9" s="39">
        <v>20</v>
      </c>
      <c r="F9" s="35"/>
      <c r="G9" s="35">
        <v>10</v>
      </c>
      <c r="H9" s="35"/>
      <c r="J9" s="32" t="s">
        <v>34</v>
      </c>
      <c r="K9" s="39">
        <v>20</v>
      </c>
      <c r="L9" s="35">
        <v>10</v>
      </c>
      <c r="M9" s="35">
        <v>10</v>
      </c>
      <c r="O9" s="80" t="s">
        <v>42</v>
      </c>
      <c r="P9" s="88">
        <f>SUM(P3:P8)</f>
        <v>-20</v>
      </c>
      <c r="Q9" s="1" t="s">
        <v>55</v>
      </c>
    </row>
    <row r="10" spans="4:17" ht="16.5" thickBot="1" x14ac:dyDescent="0.3">
      <c r="D10" s="31" t="s">
        <v>22</v>
      </c>
      <c r="E10" s="39">
        <v>20</v>
      </c>
      <c r="F10" s="35">
        <v>10</v>
      </c>
      <c r="G10" s="35">
        <v>10</v>
      </c>
      <c r="H10" s="35"/>
      <c r="J10" s="32" t="s">
        <v>37</v>
      </c>
      <c r="K10" s="40"/>
      <c r="L10" s="36"/>
      <c r="M10" s="36"/>
    </row>
    <row r="11" spans="4:17" ht="16.5" thickBot="1" x14ac:dyDescent="0.3">
      <c r="D11" s="31" t="s">
        <v>23</v>
      </c>
      <c r="E11" s="39">
        <v>20</v>
      </c>
      <c r="F11" s="35">
        <v>10</v>
      </c>
      <c r="G11" s="35">
        <v>10</v>
      </c>
      <c r="H11" s="35"/>
      <c r="J11" s="32" t="s">
        <v>27</v>
      </c>
      <c r="K11" s="40"/>
      <c r="L11" s="37"/>
      <c r="M11" s="36"/>
    </row>
    <row r="12" spans="4:17" ht="16.5" thickBot="1" x14ac:dyDescent="0.3">
      <c r="D12" s="31" t="s">
        <v>24</v>
      </c>
      <c r="E12" s="39"/>
      <c r="F12" s="35"/>
      <c r="G12" s="37"/>
      <c r="H12" s="35"/>
      <c r="J12" s="32" t="s">
        <v>13</v>
      </c>
      <c r="K12" s="39">
        <v>20</v>
      </c>
      <c r="L12" s="37"/>
      <c r="M12" s="35">
        <v>30</v>
      </c>
    </row>
    <row r="13" spans="4:17" ht="16.5" thickBot="1" x14ac:dyDescent="0.3">
      <c r="D13" s="31" t="s">
        <v>25</v>
      </c>
      <c r="E13" s="39">
        <v>20</v>
      </c>
      <c r="F13" s="35"/>
      <c r="G13" s="35">
        <v>10</v>
      </c>
      <c r="H13" s="35"/>
      <c r="J13" s="32" t="s">
        <v>29</v>
      </c>
      <c r="K13" s="40"/>
      <c r="L13" s="37"/>
      <c r="M13" s="37"/>
    </row>
    <row r="14" spans="4:17" ht="16.5" thickBot="1" x14ac:dyDescent="0.3">
      <c r="D14" s="31" t="s">
        <v>13</v>
      </c>
      <c r="E14" s="37"/>
      <c r="F14" s="37"/>
      <c r="G14" s="37"/>
      <c r="H14" s="37"/>
      <c r="J14" s="32" t="s">
        <v>31</v>
      </c>
      <c r="K14" s="40"/>
      <c r="L14" s="37"/>
      <c r="M14" s="37"/>
    </row>
    <row r="15" spans="4:17" ht="16.5" thickBot="1" x14ac:dyDescent="0.3">
      <c r="D15" s="31" t="s">
        <v>14</v>
      </c>
      <c r="E15" s="39">
        <v>20</v>
      </c>
      <c r="F15" s="37"/>
      <c r="G15" s="35">
        <v>10</v>
      </c>
      <c r="H15" s="35"/>
      <c r="J15" s="32" t="s">
        <v>35</v>
      </c>
      <c r="K15" s="39">
        <v>20</v>
      </c>
      <c r="L15" s="37"/>
      <c r="M15" s="35">
        <v>7</v>
      </c>
    </row>
    <row r="16" spans="4:17" ht="16.5" thickBot="1" x14ac:dyDescent="0.3">
      <c r="D16" s="31" t="s">
        <v>19</v>
      </c>
      <c r="E16" s="39"/>
      <c r="F16" s="37"/>
      <c r="G16" s="37"/>
      <c r="H16" s="35"/>
      <c r="J16" s="32" t="s">
        <v>36</v>
      </c>
      <c r="K16" s="40"/>
      <c r="L16" s="37"/>
      <c r="M16" s="37"/>
    </row>
    <row r="17" spans="4:8" ht="16.5" thickBot="1" x14ac:dyDescent="0.3">
      <c r="D17" s="31" t="s">
        <v>21</v>
      </c>
      <c r="E17" s="39"/>
      <c r="F17" s="37"/>
      <c r="G17" s="37"/>
      <c r="H17" s="35"/>
    </row>
    <row r="18" spans="4:8" ht="16.5" thickBot="1" x14ac:dyDescent="0.3">
      <c r="D18" s="31" t="s">
        <v>26</v>
      </c>
      <c r="E18" s="39">
        <v>20</v>
      </c>
      <c r="F18" s="37"/>
      <c r="G18" s="35"/>
      <c r="H18" s="35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6"/>
  <sheetViews>
    <sheetView workbookViewId="0">
      <selection activeCell="I5" sqref="I5:I8"/>
    </sheetView>
  </sheetViews>
  <sheetFormatPr defaultRowHeight="15" x14ac:dyDescent="0.25"/>
  <sheetData>
    <row r="6" spans="9:9" x14ac:dyDescent="0.25">
      <c r="I6">
        <v>100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Planilha1</vt:lpstr>
      <vt:lpstr>Planilha2</vt:lpstr>
      <vt:lpstr>Michel</vt:lpstr>
      <vt:lpstr>Roseli</vt:lpstr>
      <vt:lpstr>Planilha4</vt:lpstr>
      <vt:lpstr>Planilha6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Stofaleti</dc:creator>
  <cp:lastModifiedBy>Anderson Stofaleti</cp:lastModifiedBy>
  <dcterms:created xsi:type="dcterms:W3CDTF">2017-03-20T18:21:12Z</dcterms:created>
  <dcterms:modified xsi:type="dcterms:W3CDTF">2017-04-12T22:04:55Z</dcterms:modified>
</cp:coreProperties>
</file>